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25" yWindow="1815" windowWidth="17085" windowHeight="10620" tabRatio="279" activeTab="1"/>
  </bookViews>
  <sheets>
    <sheet name="ver4" sheetId="1" r:id="rId1"/>
    <sheet name="calc" sheetId="2" r:id="rId2"/>
  </sheets>
  <externalReferences>
    <externalReference r:id="rId5"/>
    <externalReference r:id="rId6"/>
    <externalReference r:id="rId7"/>
    <externalReference r:id="rId8"/>
  </externalReferences>
  <definedNames>
    <definedName name="A_0">'[1]főtartó kezdet'!$G$20</definedName>
    <definedName name="a_1">#REF!</definedName>
    <definedName name="a_11">'[1]főtartó kezdet'!$E$36</definedName>
    <definedName name="a_1red">#REF!</definedName>
    <definedName name="a_2red">#REF!</definedName>
    <definedName name="A_3">'[1]főtartó kezdet'!$G$22</definedName>
    <definedName name="A_4">'[1]főtartó kezdet'!$G$25</definedName>
    <definedName name="A_5">'[1]főtartó kezdet'!$C$107</definedName>
    <definedName name="A_aa">#REF!</definedName>
    <definedName name="A_Aszum">#REF!</definedName>
    <definedName name="A_bb">#REF!</definedName>
    <definedName name="A_Bszum">#REF!</definedName>
    <definedName name="A_Cszum">#REF!</definedName>
    <definedName name="A_Dszum">#REF!</definedName>
    <definedName name="A_G1">#REF!</definedName>
    <definedName name="Aa_1">#REF!</definedName>
    <definedName name="Aa_2">#REF!</definedName>
    <definedName name="Ab_1">#REF!</definedName>
    <definedName name="Ab_2">#REF!</definedName>
    <definedName name="ABLAK__db">#REF!</definedName>
    <definedName name="Ac_1">#REF!</definedName>
    <definedName name="Ac_2">#REF!</definedName>
    <definedName name="Ad_1">#REF!</definedName>
    <definedName name="Ad_2">#REF!</definedName>
    <definedName name="AE_1">#REF!</definedName>
    <definedName name="AE_2">#REF!</definedName>
    <definedName name="AF_1">#REF!</definedName>
    <definedName name="Af_2">#REF!</definedName>
    <definedName name="afa" localSheetId="1">'calc'!$D$20</definedName>
    <definedName name="afa">'ver4'!#REF!</definedName>
    <definedName name="afa25">#REF!</definedName>
    <definedName name="affa" localSheetId="1">'calc'!$D$483</definedName>
    <definedName name="affa">'ver4'!#REF!</definedName>
    <definedName name="agro">#REF!</definedName>
    <definedName name="Ah_a1">#REF!</definedName>
    <definedName name="Ah_a2">#REF!</definedName>
    <definedName name="Ah_b1">#REF!</definedName>
    <definedName name="Ah_b2">#REF!</definedName>
    <definedName name="Ah_c1">#REF!</definedName>
    <definedName name="Ah_c2">#REF!</definedName>
    <definedName name="Ah_d1">#REF!</definedName>
    <definedName name="Ah_d2">#REF!</definedName>
    <definedName name="aha_1red">#REF!</definedName>
    <definedName name="aha_2red">#REF!</definedName>
    <definedName name="ajtomagas">#REF!</definedName>
    <definedName name="anyagár">#REF!</definedName>
    <definedName name="anyagárössz">#REF!</definedName>
    <definedName name="ÁrFenyő">#REF!</definedName>
    <definedName name="ÁrOSB">#REF!</definedName>
    <definedName name="Aszum">#REF!</definedName>
    <definedName name="b_1">#REF!</definedName>
    <definedName name="b_1red">#REF!</definedName>
    <definedName name="b_2">#REF!</definedName>
    <definedName name="b_21">'[1]főtartó kezdet'!$D$59</definedName>
    <definedName name="b_2red">#REF!</definedName>
    <definedName name="bb_1">#REF!</definedName>
    <definedName name="belmagas">#REF!</definedName>
    <definedName name="beszár">#REF!</definedName>
    <definedName name="bha_1red">#REF!</definedName>
    <definedName name="bha_2red">#REF!</definedName>
    <definedName name="bordamagas">#REF!</definedName>
    <definedName name="burkolat">#REF!</definedName>
    <definedName name="c_1">#REF!</definedName>
    <definedName name="c_1red">#REF!</definedName>
    <definedName name="c_2">#REF!</definedName>
    <definedName name="c_2red">#REF!</definedName>
    <definedName name="c_3">'[1]főtartó kezdet'!$D$67</definedName>
    <definedName name="cha_1red">#REF!</definedName>
    <definedName name="cha_1reduk">#REF!</definedName>
    <definedName name="cha_2red">#REF!</definedName>
    <definedName name="cha_2reduk">#REF!</definedName>
    <definedName name="ck_10">#REF!</definedName>
    <definedName name="ck_12">#REF!</definedName>
    <definedName name="ck_16">#REF!</definedName>
    <definedName name="ck_lap">#REF!</definedName>
    <definedName name="ck8f">#REF!</definedName>
    <definedName name="cosinus">#REF!</definedName>
    <definedName name="d_1">#REF!</definedName>
    <definedName name="d_1red">#REF!</definedName>
    <definedName name="d_2">#REF!</definedName>
    <definedName name="d_2red">#REF!</definedName>
    <definedName name="d_4">'[1]főtartó kezdet'!$N$80</definedName>
    <definedName name="d_5">'[1]főtartó kezdet'!$C$109</definedName>
    <definedName name="db_05">'[1]alap kon'!$AZ$7:$AZ$62</definedName>
    <definedName name="db_1">#REF!</definedName>
    <definedName name="db_2">#REF!</definedName>
    <definedName name="db_4">#REF!</definedName>
    <definedName name="db_75">'[1]alap kon'!$GB$8:$GB$63</definedName>
    <definedName name="db2_05">#REF!</definedName>
    <definedName name="dbfm">#REF!</definedName>
    <definedName name="dha_1red">#REF!</definedName>
    <definedName name="dha_2red">#REF!</definedName>
    <definedName name="dij">#REF!</definedName>
    <definedName name="dijössz">#REF!</definedName>
    <definedName name="E_1">#REF!</definedName>
    <definedName name="E_2">#REF!</definedName>
    <definedName name="egység">#REF!</definedName>
    <definedName name="egységár">#REF!</definedName>
    <definedName name="eresz">'calc'!$A$3</definedName>
    <definedName name="euro" localSheetId="1">'calc'!$X$20</definedName>
    <definedName name="euro">'ver4'!#REF!</definedName>
    <definedName name="F_1">#REF!</definedName>
    <definedName name="F_2">#REF!</definedName>
    <definedName name="faktor" localSheetId="1">'calc'!$A$1</definedName>
    <definedName name="faktor">'ver4'!$A$1</definedName>
    <definedName name="fal" localSheetId="1">#REF!</definedName>
    <definedName name="falmagas">#REF!</definedName>
    <definedName name="faltárcsa">#REF!</definedName>
    <definedName name="fck10">#REF!</definedName>
    <definedName name="fck12">#REF!</definedName>
    <definedName name="fck14">#REF!</definedName>
    <definedName name="fck16">#REF!</definedName>
    <definedName name="fck18">#REF!</definedName>
    <definedName name="fck20">#REF!</definedName>
    <definedName name="fck24">#REF!</definedName>
    <definedName name="fck26">#REF!</definedName>
    <definedName name="fck28">#REF!</definedName>
    <definedName name="fck30">#REF!</definedName>
    <definedName name="fck32">#REF!</definedName>
    <definedName name="fck36">#REF!</definedName>
    <definedName name="fck38">#REF!</definedName>
    <definedName name="fck40">#REF!</definedName>
    <definedName name="fck8">#REF!</definedName>
    <definedName name="Fe_ár">#REF!</definedName>
    <definedName name="FE_kgfm">#REF!</definedName>
    <definedName name="felfekvés_1">'[1]főtartó kezdet'!$N$154</definedName>
    <definedName name="fenyő">#REF!</definedName>
    <definedName name="fm">'[1]alap kon'!$BB$7:$BB$62</definedName>
    <definedName name="fm2_05">#REF!</definedName>
    <definedName name="fok" localSheetId="1">#REF!</definedName>
    <definedName name="fokfaktor" localSheetId="1">#REF!</definedName>
    <definedName name="födszél">#REF!</definedName>
    <definedName name="frglap">#REF!</definedName>
    <definedName name="G_0">#REF!</definedName>
    <definedName name="G_1">#REF!</definedName>
    <definedName name="G_fel">#REF!</definedName>
    <definedName name="G_max">#REF!</definedName>
    <definedName name="gardrob_m2">#REF!</definedName>
    <definedName name="Gcs">'[1]főtartó kezdet'!$B$75</definedName>
    <definedName name="geralso">'[4]V-16-2012maj(TJI)'!#REF!</definedName>
    <definedName name="Gerdb">#REF!</definedName>
    <definedName name="gipszk">#REF!</definedName>
    <definedName name="GKöz">'[1]főtartó kezdet'!$V$109</definedName>
    <definedName name="h_1">#REF!</definedName>
    <definedName name="h_11">'[1]főtartó kezdet'!$H$30</definedName>
    <definedName name="h_1red">#REF!</definedName>
    <definedName name="h_2">'[1]főtartó kezdet'!$B$60</definedName>
    <definedName name="h_21">'[1]főtartó kezdet'!$H$52</definedName>
    <definedName name="h_3">'[1]főtartó kezdet'!$B$69</definedName>
    <definedName name="h_4">'[1]főtartó kezdet'!$W$33</definedName>
    <definedName name="h_5">'[1]főtartó kezdet'!$C$108</definedName>
    <definedName name="h_a1">#REF!</definedName>
    <definedName name="h_a1red">#REF!</definedName>
    <definedName name="h_a2">#REF!</definedName>
    <definedName name="h_a2red">#REF!</definedName>
    <definedName name="h_b1">#REF!</definedName>
    <definedName name="h_b1red">#REF!</definedName>
    <definedName name="h_b2">#REF!</definedName>
    <definedName name="h_b2red">#REF!</definedName>
    <definedName name="h_c1">#REF!</definedName>
    <definedName name="h_c1red">#REF!</definedName>
    <definedName name="h_c2">#REF!</definedName>
    <definedName name="h_c2red">#REF!</definedName>
    <definedName name="h_d1">#REF!</definedName>
    <definedName name="h_d1red">#REF!</definedName>
    <definedName name="h_d2">#REF!</definedName>
    <definedName name="h_d2red">#REF!</definedName>
    <definedName name="h_szoba1_m2">#REF!</definedName>
    <definedName name="h_szoba2_m2">#REF!</definedName>
    <definedName name="H_szum">#REF!</definedName>
    <definedName name="hasznos_5">'[1]főtartó kezdet'!$H$123</definedName>
    <definedName name="hha_a1red">#REF!</definedName>
    <definedName name="hha_a2red">#REF!</definedName>
    <definedName name="hha_b1red">#REF!</definedName>
    <definedName name="hha_b2red">#REF!</definedName>
    <definedName name="hha_c1red">#REF!</definedName>
    <definedName name="hha_c2red">#REF!</definedName>
    <definedName name="hha_d1red">#REF!</definedName>
    <definedName name="hha_d2red">#REF!</definedName>
    <definedName name="hossz05">'[1]alap kon'!$AY$7:$AY$62</definedName>
    <definedName name="hossz1">'[1]alap kon'!$DN$7:$DN$62</definedName>
    <definedName name="hossz2">'[1]alap kon'!$AY$73:$AY$129</definedName>
    <definedName name="Hossz2_05">#REF!</definedName>
    <definedName name="hossz75">'[1]alap kon'!$GA$7:$GA$63</definedName>
    <definedName name="I_5fa">'[1]főtartó kezdet'!$H$110</definedName>
    <definedName name="I_s1">'[1]főtartó kezdet'!$U$51</definedName>
    <definedName name="I_s2">'[1]főtartó kezdet'!$U$52</definedName>
    <definedName name="I_s3">'[1]főtartó kezdet'!$U$53</definedName>
    <definedName name="I_s4">'[1]főtartó kezdet'!$U$55</definedName>
    <definedName name="I_sa_1">#REF!</definedName>
    <definedName name="I_sa_2">#REF!</definedName>
    <definedName name="I_sb_1">#REF!</definedName>
    <definedName name="I_sb_2">#REF!</definedName>
    <definedName name="I_sc_1">#REF!</definedName>
    <definedName name="I_sc_2">#REF!</definedName>
    <definedName name="I_sd_1">#REF!</definedName>
    <definedName name="I_sd_2">#REF!</definedName>
    <definedName name="I_sE_1">#REF!</definedName>
    <definedName name="I_sE_2">#REF!</definedName>
    <definedName name="I_sF_1">#REF!</definedName>
    <definedName name="I_SF_2">#REF!</definedName>
    <definedName name="I_sG1">#REF!</definedName>
    <definedName name="I_sh_a1">#REF!</definedName>
    <definedName name="I_sh_a2">#REF!</definedName>
    <definedName name="I_sh_b1">#REF!</definedName>
    <definedName name="I_sh_b2">#REF!</definedName>
    <definedName name="I_sh_c1">#REF!</definedName>
    <definedName name="I_sh_c2">#REF!</definedName>
    <definedName name="I_sh_d1">#REF!</definedName>
    <definedName name="I_sh_d2">#REF!</definedName>
    <definedName name="I_x">'[1]főtartó kezdet'!$P$60</definedName>
    <definedName name="I_x_m">#REF!</definedName>
    <definedName name="idő">#REF!</definedName>
    <definedName name="Is_aa">#REF!</definedName>
    <definedName name="Is_bb">#REF!</definedName>
    <definedName name="Ix_A">#REF!</definedName>
    <definedName name="Ix_B">#REF!</definedName>
    <definedName name="Ix_C">#REF!</definedName>
    <definedName name="Ix_D">#REF!</definedName>
    <definedName name="Ixfa">#REF!</definedName>
    <definedName name="K_1">'[1]főtartó kezdet'!$P$69</definedName>
    <definedName name="K_2">'[1]főtartó kezdet'!$V$69</definedName>
    <definedName name="K_5fa">'[1]főtartó kezdet'!$M$112</definedName>
    <definedName name="kamra_m2">#REF!</definedName>
    <definedName name="Kfa">'[1]főtartó kezdet'!$V$81</definedName>
    <definedName name="KN2">#REF!</definedName>
    <definedName name="KN3">#REF!</definedName>
    <definedName name="KN4">#REF!</definedName>
    <definedName name="KN5">#REF!</definedName>
    <definedName name="KN6">#REF!</definedName>
    <definedName name="KN8">#REF!</definedName>
    <definedName name="konyha_m2">#REF!</definedName>
    <definedName name="KÚ">'[1]főtartó kezdet'!$K$3</definedName>
    <definedName name="l">'[1]főtartó kezdet'!$C$9</definedName>
    <definedName name="l_1">#REF!</definedName>
    <definedName name="L_FG">'[1]főtartó kezdet'!$U$116</definedName>
    <definedName name="lamdb_G">#REF!</definedName>
    <definedName name="lamvtg_G">#REF!</definedName>
    <definedName name="lap19">#REF!</definedName>
    <definedName name="lap28">#REF!</definedName>
    <definedName name="ldomino">#REF!</definedName>
    <definedName name="luft">#REF!</definedName>
    <definedName name="m">#REF!</definedName>
    <definedName name="M_0">'[1]főtartó kezdet'!$B$72</definedName>
    <definedName name="M_05">'[1]alap kon'!$AW$7:$AW$62</definedName>
    <definedName name="M_1">'[1]alap kon'!$DL$10:$DL$62</definedName>
    <definedName name="M_2">'[1]alap kon'!$AW$73:$AW$129</definedName>
    <definedName name="M_75">'[1]alap kon'!$FY$7:$FY$63</definedName>
    <definedName name="M_A">#REF!</definedName>
    <definedName name="M_FG">'[1]főtartó kezdet'!$W$127</definedName>
    <definedName name="M_m">#REF!</definedName>
    <definedName name="M_pont">#REF!</definedName>
    <definedName name="M_Terv">#REF!</definedName>
    <definedName name="M2_05">#REF!</definedName>
    <definedName name="m22_05">#REF!</definedName>
    <definedName name="m32_05">#REF!</definedName>
    <definedName name="mab">#REF!</definedName>
    <definedName name="magas">#REF!</definedName>
    <definedName name="mbel">#REF!</definedName>
    <definedName name="mdf">#REF!</definedName>
    <definedName name="mdomino">#REF!</definedName>
    <definedName name="mennyiség">#REF!</definedName>
    <definedName name="mennyiség2">#REF!</definedName>
    <definedName name="mérvadó05">'[1]alap kon'!$BE$7:$BE$62</definedName>
    <definedName name="mérvadó1">'[1]alap kon'!$DT$7:$DT$62</definedName>
    <definedName name="mérvadó2">'[1]alap kon'!$BE$73:$BE$129</definedName>
    <definedName name="mérvadó2_05">#REF!</definedName>
    <definedName name="Mérvadó75">'[1]alap kon'!$GG$7:$GG$63</definedName>
    <definedName name="Mh">'[1]főtartó kezdet'!$K$7</definedName>
    <definedName name="MHmax_5">'[1]főtartó kezdet'!$K$117</definedName>
    <definedName name="Mm">#REF!</definedName>
    <definedName name="modul">'calc'!$A$2</definedName>
    <definedName name="mosdó_m2">#REF!</definedName>
    <definedName name="Mpont">'[1]főtartó kezdet'!$D$71</definedName>
    <definedName name="Msz">#REF!</definedName>
    <definedName name="nlab">#REF!</definedName>
    <definedName name="norma05">'[1]alap kon'!$BA$7:$BA$62</definedName>
    <definedName name="norma1">'[1]alap kon'!$DP$7:$DP$62</definedName>
    <definedName name="norma2">'[1]alap kon'!$BA$73:$BA$129</definedName>
    <definedName name="norma2_05">#REF!</definedName>
    <definedName name="norma75">'[1]alap kon'!$GC$7:$GC$63</definedName>
    <definedName name="nulla">#REF!</definedName>
    <definedName name="nut">#REF!</definedName>
    <definedName name="nút">#REF!</definedName>
    <definedName name="_xlnm.Print_Area" localSheetId="0">'ver4'!$C$1:$AF$106</definedName>
    <definedName name="osb">#REF!</definedName>
    <definedName name="osb10">#REF!</definedName>
    <definedName name="osb10m3">#REF!</definedName>
    <definedName name="osb12">#REF!</definedName>
    <definedName name="osb12m3">#REF!</definedName>
    <definedName name="osb15">#REF!</definedName>
    <definedName name="osb15m3">#REF!</definedName>
    <definedName name="osb18">#REF!</definedName>
    <definedName name="osb18m3">#REF!</definedName>
    <definedName name="osb22">#REF!</definedName>
    <definedName name="osb22m3">#REF!</definedName>
    <definedName name="osb25">#REF!</definedName>
    <definedName name="osb25m3">#REF!</definedName>
    <definedName name="osb30">#REF!</definedName>
    <definedName name="osb30m3">#REF!</definedName>
    <definedName name="OSB6">#REF!</definedName>
    <definedName name="osb6m3">#REF!</definedName>
    <definedName name="osb8">#REF!</definedName>
    <definedName name="osb8m3">#REF!</definedName>
    <definedName name="őfm_2">'[1]alap kon'!$BB$73:$BB$129</definedName>
    <definedName name="őfm05">'[1]alap kon'!$BB$7:$BB$62</definedName>
    <definedName name="őfm75">'[1]alap kon'!$GD$7:$GD$63</definedName>
    <definedName name="őm2_05">'[1]alap kon'!$BC$7:$BC$62</definedName>
    <definedName name="őm2_1">'[1]alap kon'!$DR$7:$DR$62</definedName>
    <definedName name="őm2_2">'[1]alap kon'!$BC$73:$BC$129</definedName>
    <definedName name="őm2_75">'[1]alap kon'!$GE$7:$GE$63</definedName>
    <definedName name="őm3_05">'[1]alap kon'!$BD$7:$BD$62</definedName>
    <definedName name="őm3_1">'[1]alap kon'!$DS$7:$DS$62</definedName>
    <definedName name="őm3_2">'[1]alap kon'!$BD$73:$BD$129</definedName>
    <definedName name="őm3_75">'[1]alap kon'!$GF$7:$GF$63</definedName>
    <definedName name="őmf">'[1]alap kon'!$DQ$7:$DQ$62</definedName>
    <definedName name="őmf1">'[1]alap kon'!$DQ$7:$DQ$62</definedName>
    <definedName name="ÖSSZESEN">#REF!</definedName>
    <definedName name="összlam_vtg">#REF!</definedName>
    <definedName name="összrvtg_Ger">#REF!</definedName>
    <definedName name="öv12">#REF!</definedName>
    <definedName name="öv24">#REF!</definedName>
    <definedName name="p">'[1]főtartó kezdet'!$C$2</definedName>
    <definedName name="p_1">#REF!</definedName>
    <definedName name="p_FG">'[1]főtartó kezdet'!$X$129</definedName>
    <definedName name="panelvtg">#REF!</definedName>
    <definedName name="Q_1">#REF!</definedName>
    <definedName name="Q_FG">'[1]főtartó kezdet'!$X$123</definedName>
    <definedName name="r">#REF!</definedName>
    <definedName name="r_tömger">#REF!</definedName>
    <definedName name="rácsrúd">#REF!</definedName>
    <definedName name="ragacs">#REF!</definedName>
    <definedName name="ragacs01">#REF!</definedName>
    <definedName name="ragacs31">#REF!</definedName>
    <definedName name="rezsi">#REF!</definedName>
    <definedName name="ró">'[1]alap kon'!$BI$73:$BI$129</definedName>
    <definedName name="Ro.Fa">#REF!</definedName>
    <definedName name="ró05">'[1]alap kon'!$DX$7:$DX$62</definedName>
    <definedName name="ró1">'[1]alap kon'!$DX$7:$DX$62</definedName>
    <definedName name="ró125">'[1]alap kon'!$GK$7:$GK$63</definedName>
    <definedName name="ró2">'[1]alap kon'!$BI$73:$BI$129</definedName>
    <definedName name="ró2_05">#REF!</definedName>
    <definedName name="ró25">'[1]alap kon'!$BI$7:$BI$62</definedName>
    <definedName name="Rrúd">#REF!</definedName>
    <definedName name="Rrúd_szum">#REF!</definedName>
    <definedName name="s_1">'[1]főtartó kezdet'!$E$37</definedName>
    <definedName name="s_2">'[1]főtartó kezdet'!$D$62</definedName>
    <definedName name="s_3">'[1]főtartó kezdet'!$D$68</definedName>
    <definedName name="s_aa">#REF!</definedName>
    <definedName name="s_bb">#REF!</definedName>
    <definedName name="s_G1">#REF!</definedName>
    <definedName name="sa_1">#REF!</definedName>
    <definedName name="sa_2">#REF!</definedName>
    <definedName name="sb_1">#REF!</definedName>
    <definedName name="sb_2">#REF!</definedName>
    <definedName name="sc_1">#REF!</definedName>
    <definedName name="sc_2">#REF!</definedName>
    <definedName name="sd_1">#REF!</definedName>
    <definedName name="sd_2">#REF!</definedName>
    <definedName name="sdomino">#REF!</definedName>
    <definedName name="sE_1">#REF!</definedName>
    <definedName name="sE_2">#REF!</definedName>
    <definedName name="sF_1">#REF!</definedName>
    <definedName name="sF_2">#REF!</definedName>
    <definedName name="sh_a1">#REF!</definedName>
    <definedName name="sh_a2">#REF!</definedName>
    <definedName name="sh_b1">#REF!</definedName>
    <definedName name="sh_b2">#REF!</definedName>
    <definedName name="sh_c1">#REF!</definedName>
    <definedName name="sh_c2">#REF!</definedName>
    <definedName name="sh_d1">#REF!</definedName>
    <definedName name="sh_d2">#REF!</definedName>
    <definedName name="SHfa">'[1]főtartó kezdet'!$R$81</definedName>
    <definedName name="Shfa_5">'[1]főtartó kezdet'!$G$112</definedName>
    <definedName name="Shh">#REF!</definedName>
    <definedName name="Smeg">#REF!</definedName>
    <definedName name="Smeg1">#REF!</definedName>
    <definedName name="smeg2">#REF!</definedName>
    <definedName name="stény">#REF!</definedName>
    <definedName name="Stény1">#REF!</definedName>
    <definedName name="Stény2">#REF!</definedName>
    <definedName name="sűrűség">#REF!</definedName>
    <definedName name="sz">#REF!</definedName>
    <definedName name="SZ_05">'[1]alap kon'!$AX$7:$AX$62</definedName>
    <definedName name="SZ_1">'[1]alap kon'!$DM$7:$DM$62</definedName>
    <definedName name="SZ_2">'[1]alap kon'!$AX$73:$AX$129</definedName>
    <definedName name="SZ_75">'[1]alap kon'!$FZ$7:$FZ$63</definedName>
    <definedName name="SZ2_05">#REF!</definedName>
    <definedName name="sza">#REF!</definedName>
    <definedName name="szab">#REF!</definedName>
    <definedName name="szbel">#REF!</definedName>
    <definedName name="szélfogó_m2">#REF!</definedName>
    <definedName name="szor12">'calc'!$D$482</definedName>
    <definedName name="szorzó">#REF!</definedName>
    <definedName name="sztirol">#REF!</definedName>
    <definedName name="szum_fa">#REF!</definedName>
    <definedName name="Szum_FE">#REF!</definedName>
    <definedName name="szum_OSB">#REF!</definedName>
    <definedName name="szükséglet">#REF!</definedName>
    <definedName name="t_1">'[1]főtartó kezdet'!$Y$58</definedName>
    <definedName name="t_2">'[1]főtartó kezdet'!$Y$59</definedName>
    <definedName name="t_3">'[1]főtartó kezdet'!$Y$60</definedName>
    <definedName name="t_4">'[1]főtartó kezdet'!$Y$61</definedName>
    <definedName name="t_A">#REF!</definedName>
    <definedName name="t_a1">#REF!</definedName>
    <definedName name="t_a2">#REF!</definedName>
    <definedName name="t_aa">#REF!</definedName>
    <definedName name="t_B">#REF!</definedName>
    <definedName name="t_b1">#REF!</definedName>
    <definedName name="t_b2">#REF!</definedName>
    <definedName name="t_bb">#REF!</definedName>
    <definedName name="t_c1">#REF!</definedName>
    <definedName name="t_c2">#REF!</definedName>
    <definedName name="t_d1">#REF!</definedName>
    <definedName name="t_d2">#REF!</definedName>
    <definedName name="t_E1">#REF!</definedName>
    <definedName name="t_E2">#REF!</definedName>
    <definedName name="t_F1">#REF!</definedName>
    <definedName name="t_F2">#REF!</definedName>
    <definedName name="t_ha1">#REF!</definedName>
    <definedName name="t_ha2">#REF!</definedName>
    <definedName name="t_hb1">#REF!</definedName>
    <definedName name="t_hb2">#REF!</definedName>
    <definedName name="t_hc1">#REF!</definedName>
    <definedName name="t_hc2">#REF!</definedName>
    <definedName name="t_hd1">#REF!</definedName>
    <definedName name="t_hd2">#REF!</definedName>
    <definedName name="Teher">#REF!</definedName>
    <definedName name="tg">#REF!</definedName>
    <definedName name="TJI">#REF!</definedName>
    <definedName name="TJI2">#REF!</definedName>
    <definedName name="TLEMEZ">#REF!</definedName>
    <definedName name="ufal" localSheetId="1">#REF!</definedName>
    <definedName name="umenny" localSheetId="1">#REF!</definedName>
    <definedName name="umenny045">#REF!</definedName>
    <definedName name="UNI10">#REF!</definedName>
    <definedName name="UNI12">#REF!</definedName>
    <definedName name="UNI13">#REF!</definedName>
    <definedName name="uni14">#REF!</definedName>
    <definedName name="UNI16">#REF!</definedName>
    <definedName name="UNI18">#REF!</definedName>
    <definedName name="UNI20">#REF!</definedName>
    <definedName name="upadlo" localSheetId="1">#REF!</definedName>
    <definedName name="upadlo045">#REF!</definedName>
    <definedName name="ursa">#REF!</definedName>
    <definedName name="üháló">#REF!</definedName>
    <definedName name="v">#REF!</definedName>
    <definedName name="v_3">'[1]főtartó kezdet'!$B$70</definedName>
    <definedName name="v_4">#REF!</definedName>
    <definedName name="v_a1">#REF!</definedName>
    <definedName name="v_a1red">#REF!</definedName>
    <definedName name="v_a2">#REF!</definedName>
    <definedName name="v_a2red">#REF!</definedName>
    <definedName name="v_ab">#REF!</definedName>
    <definedName name="v_b1">#REF!</definedName>
    <definedName name="v_b1red">#REF!</definedName>
    <definedName name="v_b2">#REF!</definedName>
    <definedName name="v_b2red">#REF!</definedName>
    <definedName name="v_c1">#REF!</definedName>
    <definedName name="v_c2">#REF!</definedName>
    <definedName name="v_d1">#REF!</definedName>
    <definedName name="v_d2">#REF!</definedName>
    <definedName name="v_E1">#REF!</definedName>
    <definedName name="v_E2">#REF!</definedName>
    <definedName name="v_F1">#REF!</definedName>
    <definedName name="v_F2">#REF!</definedName>
    <definedName name="v_G1">#REF!</definedName>
    <definedName name="v_ha1">#REF!</definedName>
    <definedName name="v_ha1red">#REF!</definedName>
    <definedName name="v_ha2">#REF!</definedName>
    <definedName name="v_ha2red">#REF!</definedName>
    <definedName name="v_hb1">#REF!</definedName>
    <definedName name="v_hb1red">#REF!</definedName>
    <definedName name="v_hb2">#REF!</definedName>
    <definedName name="v_hb2red">#REF!</definedName>
    <definedName name="v_hc1">#REF!</definedName>
    <definedName name="v_hc2">#REF!</definedName>
    <definedName name="v_hd1">#REF!</definedName>
    <definedName name="v_hd2">#REF!</definedName>
    <definedName name="vakolat">#REF!</definedName>
    <definedName name="vakpadlo">#REF!</definedName>
    <definedName name="vfal" localSheetId="1">#REF!</definedName>
    <definedName name="vfal2">#REF!</definedName>
    <definedName name="vha_a1red">#REF!</definedName>
    <definedName name="vha_a2red">#REF!</definedName>
    <definedName name="vha_b1red">#REF!</definedName>
    <definedName name="vha_b2red">#REF!</definedName>
    <definedName name="vha_ha1red">#REF!</definedName>
    <definedName name="vha_ha2red">#REF!</definedName>
    <definedName name="vha_hb1red">#REF!</definedName>
    <definedName name="vha_hb2red">#REF!</definedName>
    <definedName name="vtg">#REF!</definedName>
    <definedName name="WDF10">#REF!</definedName>
    <definedName name="WDF5">#REF!</definedName>
    <definedName name="WDF8">#REF!</definedName>
    <definedName name="xdomino">#REF!</definedName>
    <definedName name="xldomino">#REF!</definedName>
    <definedName name="xxdomino">#REF!</definedName>
    <definedName name="y_1">'[1]főtartó kezdet'!$H$43</definedName>
    <definedName name="y_2">'[1]főtartó kezdet'!$H$57</definedName>
    <definedName name="y_3">'[1]főtartó kezdet'!$H$68</definedName>
    <definedName name="y_4">'[1]főtartó kezdet'!$W$34</definedName>
    <definedName name="y_5">'[1]főtartó kezdet'!$Q$109</definedName>
    <definedName name="Y_A">#REF!</definedName>
    <definedName name="y_aa">#REF!</definedName>
    <definedName name="Y_Aszum">#REF!</definedName>
    <definedName name="Y_B">#REF!</definedName>
    <definedName name="y_bb">#REF!</definedName>
    <definedName name="Y_Bszum">#REF!</definedName>
    <definedName name="Y_cszum">#REF!</definedName>
    <definedName name="Y_Dszum">#REF!</definedName>
    <definedName name="y_s">'[1]főtartó kezdet'!$X$46</definedName>
    <definedName name="y_sfa">'[1]főtartó kezdet'!$O$46</definedName>
    <definedName name="y_szum">#REF!</definedName>
    <definedName name="ya_1">#REF!</definedName>
    <definedName name="ya_2">#REF!</definedName>
    <definedName name="yb_1">#REF!</definedName>
    <definedName name="yb_2">#REF!</definedName>
    <definedName name="yc_1">#REF!</definedName>
    <definedName name="yc_2">#REF!</definedName>
    <definedName name="yd_1">#REF!</definedName>
    <definedName name="yd_2">#REF!</definedName>
    <definedName name="yE1">#REF!</definedName>
    <definedName name="yE2">#REF!</definedName>
    <definedName name="yF1">#REF!</definedName>
    <definedName name="yF2">#REF!</definedName>
    <definedName name="yG1">#REF!</definedName>
    <definedName name="yh_a1">#REF!</definedName>
    <definedName name="yh_a2">#REF!</definedName>
    <definedName name="yh_b1">#REF!</definedName>
    <definedName name="yh_b2">#REF!</definedName>
    <definedName name="yh_c1">#REF!</definedName>
    <definedName name="yh_c2">#REF!</definedName>
    <definedName name="yh_d1">#REF!</definedName>
    <definedName name="yh_d2">#REF!</definedName>
    <definedName name="ysfa">'[1]főtartó kezdet'!$O$46</definedName>
  </definedNames>
  <calcPr fullCalcOnLoad="1"/>
</workbook>
</file>

<file path=xl/comments2.xml><?xml version="1.0" encoding="utf-8"?>
<comments xmlns="http://schemas.openxmlformats.org/spreadsheetml/2006/main">
  <authors>
    <author>sbi f j</author>
    <author>sby f j</author>
  </authors>
  <commentList>
    <comment ref="Q23" authorId="0">
      <text>
        <r>
          <rPr>
            <b/>
            <sz val="8"/>
            <rFont val="Tahoma"/>
            <family val="2"/>
          </rPr>
          <t>"Sessy</t>
        </r>
        <r>
          <rPr>
            <sz val="8"/>
            <rFont val="Tahoma"/>
            <family val="0"/>
          </rPr>
          <t xml:space="preserve"> komfort mag"
Fürdő/WC-alapkonyha-
bejárat</t>
        </r>
      </text>
    </comment>
    <comment ref="Q24" authorId="0">
      <text>
        <r>
          <rPr>
            <sz val="8"/>
            <rFont val="Tahoma"/>
            <family val="0"/>
          </rPr>
          <t>"a komfort mag"
Fürdő/WC-alapkonyha-
bejárat</t>
        </r>
      </text>
    </comment>
    <comment ref="Q25" authorId="0">
      <text>
        <r>
          <rPr>
            <sz val="8"/>
            <rFont val="Tahoma"/>
            <family val="0"/>
          </rPr>
          <t>"a komfort mag"
Fürdő/WC-alapkonyha-
bejárat</t>
        </r>
      </text>
    </comment>
    <comment ref="Q26" authorId="0">
      <text>
        <r>
          <rPr>
            <sz val="8"/>
            <rFont val="Tahoma"/>
            <family val="0"/>
          </rPr>
          <t>"a komfort mag"
Fürdő/WC-alapkonyha-
bejárat</t>
        </r>
      </text>
    </comment>
    <comment ref="Q27" authorId="0">
      <text>
        <r>
          <rPr>
            <sz val="8"/>
            <rFont val="Tahoma"/>
            <family val="0"/>
          </rPr>
          <t>"a komfort mag"
Fürdő/WC-alapkonyha-
bejárat</t>
        </r>
      </text>
    </comment>
    <comment ref="Q28" authorId="0">
      <text>
        <r>
          <rPr>
            <sz val="8"/>
            <rFont val="Tahoma"/>
            <family val="0"/>
          </rPr>
          <t>"a komfort mag"
Fürdő/WC-alapkonyha-
bejárat</t>
        </r>
      </text>
    </comment>
    <comment ref="Q29" authorId="0">
      <text>
        <r>
          <rPr>
            <sz val="8"/>
            <rFont val="Tahoma"/>
            <family val="0"/>
          </rPr>
          <t>"a komfort mag"
Fürdő/WC-alapkonyha-
bejárat</t>
        </r>
      </text>
    </comment>
    <comment ref="Q30" authorId="0">
      <text>
        <r>
          <rPr>
            <sz val="8"/>
            <rFont val="Tahoma"/>
            <family val="0"/>
          </rPr>
          <t>"a komfort mag"
Fürdő/WC-alapkonyha-
bejárat</t>
        </r>
      </text>
    </comment>
    <comment ref="Q31" authorId="0">
      <text>
        <r>
          <rPr>
            <sz val="8"/>
            <rFont val="Tahoma"/>
            <family val="0"/>
          </rPr>
          <t>"a komfort mag"
Fürdő/WC-alapkonyha-
bejárat</t>
        </r>
      </text>
    </comment>
    <comment ref="Q46" authorId="0">
      <text>
        <r>
          <rPr>
            <b/>
            <sz val="8"/>
            <rFont val="Tahoma"/>
            <family val="2"/>
          </rPr>
          <t>"Meddy</t>
        </r>
        <r>
          <rPr>
            <sz val="8"/>
            <rFont val="Tahoma"/>
            <family val="0"/>
          </rPr>
          <t xml:space="preserve"> komfort mag"
Fürdő/WC-alapkonyha-
bejárat</t>
        </r>
      </text>
    </comment>
    <comment ref="Q47" authorId="0">
      <text>
        <r>
          <rPr>
            <sz val="8"/>
            <rFont val="Tahoma"/>
            <family val="0"/>
          </rPr>
          <t>"a komfort mag"
Fürdő/WC-alapkonyha-
bejárat</t>
        </r>
      </text>
    </comment>
    <comment ref="Q48" authorId="0">
      <text>
        <r>
          <rPr>
            <sz val="8"/>
            <rFont val="Tahoma"/>
            <family val="0"/>
          </rPr>
          <t>"a komfort mag"
Fürdő/WC-alapkonyha-
bejárat</t>
        </r>
      </text>
    </comment>
    <comment ref="Q49" authorId="0">
      <text>
        <r>
          <rPr>
            <sz val="8"/>
            <rFont val="Tahoma"/>
            <family val="0"/>
          </rPr>
          <t>"a komfort mag"
Fürdő/WC-alapkonyha-
bejárat</t>
        </r>
      </text>
    </comment>
    <comment ref="Q50" authorId="0">
      <text>
        <r>
          <rPr>
            <sz val="8"/>
            <rFont val="Tahoma"/>
            <family val="0"/>
          </rPr>
          <t>"a komfort mag"
Fürdő/WC-alapkonyha-
bejárat</t>
        </r>
      </text>
    </comment>
    <comment ref="Q51" authorId="0">
      <text>
        <r>
          <rPr>
            <sz val="8"/>
            <rFont val="Tahoma"/>
            <family val="0"/>
          </rPr>
          <t>"a komfort mag"
Fürdő/WC-alapkonyha-
bejárat</t>
        </r>
      </text>
    </comment>
    <comment ref="Q52" authorId="0">
      <text>
        <r>
          <rPr>
            <sz val="8"/>
            <rFont val="Tahoma"/>
            <family val="0"/>
          </rPr>
          <t>"a komfort mag"
Fürdő/WC-alapkonyha-
bejárat</t>
        </r>
      </text>
    </comment>
    <comment ref="Q53" authorId="0">
      <text>
        <r>
          <rPr>
            <sz val="8"/>
            <rFont val="Tahoma"/>
            <family val="0"/>
          </rPr>
          <t>"a komfort mag"
Fürdő/WC-alapkonyha-
bejárat</t>
        </r>
      </text>
    </comment>
    <comment ref="Q54" authorId="0">
      <text>
        <r>
          <rPr>
            <sz val="8"/>
            <rFont val="Tahoma"/>
            <family val="0"/>
          </rPr>
          <t>"a komfort mag"
Fürdő/WC-alapkonyha-
bejárat</t>
        </r>
      </text>
    </comment>
    <comment ref="Q69" authorId="0">
      <text>
        <r>
          <rPr>
            <b/>
            <sz val="8"/>
            <rFont val="Tahoma"/>
            <family val="2"/>
          </rPr>
          <t>"Lissy</t>
        </r>
        <r>
          <rPr>
            <sz val="8"/>
            <rFont val="Tahoma"/>
            <family val="0"/>
          </rPr>
          <t xml:space="preserve"> komfort mag"
Fürdő/WC-alapkonyha-
bejárat</t>
        </r>
      </text>
    </comment>
    <comment ref="Q70" authorId="0">
      <text>
        <r>
          <rPr>
            <sz val="8"/>
            <rFont val="Tahoma"/>
            <family val="0"/>
          </rPr>
          <t>"a komfort mag"
Fürdő/WC-alapkonyha-
bejárat</t>
        </r>
      </text>
    </comment>
    <comment ref="Q71" authorId="0">
      <text>
        <r>
          <rPr>
            <sz val="8"/>
            <rFont val="Tahoma"/>
            <family val="0"/>
          </rPr>
          <t>"a komfort mag"
Fürdő/WC-alapkonyha-
bejárat</t>
        </r>
      </text>
    </comment>
    <comment ref="Q72" authorId="0">
      <text>
        <r>
          <rPr>
            <sz val="8"/>
            <rFont val="Tahoma"/>
            <family val="0"/>
          </rPr>
          <t>"a komfort mag"
Fürdő/WC-alapkonyha-
bejárat</t>
        </r>
      </text>
    </comment>
    <comment ref="Q73" authorId="0">
      <text>
        <r>
          <rPr>
            <sz val="8"/>
            <rFont val="Tahoma"/>
            <family val="0"/>
          </rPr>
          <t>"a komfort mag"
Fürdő/WC-alapkonyha-
bejárat</t>
        </r>
      </text>
    </comment>
    <comment ref="Q74" authorId="0">
      <text>
        <r>
          <rPr>
            <sz val="8"/>
            <rFont val="Tahoma"/>
            <family val="0"/>
          </rPr>
          <t>"a komfort mag"
Fürdő/WC-alapkonyha-
bejárat</t>
        </r>
      </text>
    </comment>
    <comment ref="Q75" authorId="0">
      <text>
        <r>
          <rPr>
            <sz val="8"/>
            <rFont val="Tahoma"/>
            <family val="0"/>
          </rPr>
          <t>"a komfort mag"
Fürdő/WC-alapkonyha-
bejárat</t>
        </r>
      </text>
    </comment>
    <comment ref="Q76" authorId="0">
      <text>
        <r>
          <rPr>
            <sz val="8"/>
            <rFont val="Tahoma"/>
            <family val="0"/>
          </rPr>
          <t>"a komfort mag"
Fürdő/WC-alapkonyha-
bejárat</t>
        </r>
      </text>
    </comment>
    <comment ref="Q77" authorId="0">
      <text>
        <r>
          <rPr>
            <sz val="8"/>
            <rFont val="Tahoma"/>
            <family val="0"/>
          </rPr>
          <t>"a komfort mag"
Fürdő/WC-alapkonyha-
bejárat</t>
        </r>
      </text>
    </comment>
    <comment ref="Q93" authorId="0">
      <text>
        <r>
          <rPr>
            <sz val="8"/>
            <rFont val="Tahoma"/>
            <family val="0"/>
          </rPr>
          <t>"a komfort mag"
Fürdő/WC-alapkonyha-
bejárat</t>
        </r>
      </text>
    </comment>
    <comment ref="Q94" authorId="0">
      <text>
        <r>
          <rPr>
            <sz val="8"/>
            <rFont val="Tahoma"/>
            <family val="0"/>
          </rPr>
          <t>"a komfort mag"
Fürdő/WC-alapkonyha-
bejárat</t>
        </r>
      </text>
    </comment>
    <comment ref="Q95" authorId="0">
      <text>
        <r>
          <rPr>
            <sz val="8"/>
            <rFont val="Tahoma"/>
            <family val="0"/>
          </rPr>
          <t>"a komfort mag"
Fürdő/WC-alapkonyha-
bejárat</t>
        </r>
      </text>
    </comment>
    <comment ref="Q96" authorId="0">
      <text>
        <r>
          <rPr>
            <sz val="8"/>
            <rFont val="Tahoma"/>
            <family val="0"/>
          </rPr>
          <t>"a komfort mag"
Fürdő/WC-alapkonyha-
bejárat</t>
        </r>
      </text>
    </comment>
    <comment ref="Q97" authorId="0">
      <text>
        <r>
          <rPr>
            <sz val="8"/>
            <rFont val="Tahoma"/>
            <family val="0"/>
          </rPr>
          <t>"a komfort mag"
Fürdő/WC-alapkonyha-
bejárat</t>
        </r>
      </text>
    </comment>
    <comment ref="Q98" authorId="0">
      <text>
        <r>
          <rPr>
            <sz val="8"/>
            <rFont val="Tahoma"/>
            <family val="0"/>
          </rPr>
          <t>"a komfort mag"
Fürdő/WC-alapkonyha-
bejárat</t>
        </r>
      </text>
    </comment>
    <comment ref="Q99" authorId="0">
      <text>
        <r>
          <rPr>
            <sz val="8"/>
            <rFont val="Tahoma"/>
            <family val="0"/>
          </rPr>
          <t>"a komfort mag"
Fürdő/WC-alapkonyha-
bejárat</t>
        </r>
      </text>
    </comment>
    <comment ref="Q100" authorId="0">
      <text>
        <r>
          <rPr>
            <sz val="8"/>
            <rFont val="Tahoma"/>
            <family val="0"/>
          </rPr>
          <t>"a komfort mag"
Fürdő/WC-alapkonyha-
bejárat</t>
        </r>
      </text>
    </comment>
    <comment ref="Q138" authorId="0">
      <text>
        <r>
          <rPr>
            <sz val="8"/>
            <rFont val="Tahoma"/>
            <family val="0"/>
          </rPr>
          <t>1-9 Legos Switsh"
normál bővítők (ird be a Lego falak darabját)</t>
        </r>
      </text>
    </comment>
    <comment ref="Q140" authorId="0">
      <text>
        <r>
          <rPr>
            <sz val="8"/>
            <rFont val="Tahoma"/>
            <family val="0"/>
          </rPr>
          <t>1-9 Legos Switsh"
végfalak
 (szakszonként 2 db,
 mivel két vége van)</t>
        </r>
      </text>
    </comment>
    <comment ref="Q142" authorId="0">
      <text>
        <r>
          <rPr>
            <sz val="8"/>
            <rFont val="Tahoma"/>
            <family val="0"/>
          </rPr>
          <t>1-9 Legos Switch"
SS. KisNagy</t>
        </r>
      </text>
    </comment>
    <comment ref="Q153" authorId="0">
      <text>
        <r>
          <rPr>
            <sz val="8"/>
            <rFont val="Tahoma"/>
            <family val="0"/>
          </rPr>
          <t>1-9 Legos Switch"
MS. Közép-Nagy</t>
        </r>
      </text>
    </comment>
    <comment ref="Q164" authorId="0">
      <text>
        <r>
          <rPr>
            <sz val="8"/>
            <rFont val="Tahoma"/>
            <family val="0"/>
          </rPr>
          <t>1-9 Legos Switch"
LS. Extra-Nagy</t>
        </r>
      </text>
    </comment>
    <comment ref="Q143" authorId="0">
      <text>
        <r>
          <rPr>
            <sz val="8"/>
            <rFont val="Tahoma"/>
            <family val="0"/>
          </rPr>
          <t>1-9 Legos Switch"
SS. KisNagy</t>
        </r>
      </text>
    </comment>
    <comment ref="Q144" authorId="0">
      <text>
        <r>
          <rPr>
            <sz val="8"/>
            <rFont val="Tahoma"/>
            <family val="0"/>
          </rPr>
          <t>1-9 Legos Switch"
SS. KisNagy</t>
        </r>
      </text>
    </comment>
    <comment ref="Q145" authorId="0">
      <text>
        <r>
          <rPr>
            <sz val="8"/>
            <rFont val="Tahoma"/>
            <family val="0"/>
          </rPr>
          <t>1-9 Legos Switch"
SS. KisNagy</t>
        </r>
      </text>
    </comment>
    <comment ref="Q146" authorId="0">
      <text>
        <r>
          <rPr>
            <sz val="8"/>
            <rFont val="Tahoma"/>
            <family val="0"/>
          </rPr>
          <t>1-9 Legos Switch"
SS. KisNagy</t>
        </r>
      </text>
    </comment>
    <comment ref="Q147" authorId="0">
      <text>
        <r>
          <rPr>
            <sz val="8"/>
            <rFont val="Tahoma"/>
            <family val="0"/>
          </rPr>
          <t>1-9 Legos Switch"
SS. KisNagy</t>
        </r>
      </text>
    </comment>
    <comment ref="Q148" authorId="0">
      <text>
        <r>
          <rPr>
            <sz val="8"/>
            <rFont val="Tahoma"/>
            <family val="0"/>
          </rPr>
          <t>1-9 Legos Switch"
SS. KisNagy</t>
        </r>
      </text>
    </comment>
    <comment ref="Q149" authorId="0">
      <text>
        <r>
          <rPr>
            <sz val="8"/>
            <rFont val="Tahoma"/>
            <family val="0"/>
          </rPr>
          <t>1-9 Legos Switch"
SS. KisNagy</t>
        </r>
      </text>
    </comment>
    <comment ref="Q154" authorId="0">
      <text>
        <r>
          <rPr>
            <sz val="8"/>
            <rFont val="Tahoma"/>
            <family val="0"/>
          </rPr>
          <t>1-9 Legos Switch"
MS. Közép-Nagy</t>
        </r>
      </text>
    </comment>
    <comment ref="Q155" authorId="0">
      <text>
        <r>
          <rPr>
            <sz val="8"/>
            <rFont val="Tahoma"/>
            <family val="0"/>
          </rPr>
          <t>1-9 Legos Switch"
MS. Közép-Nagy</t>
        </r>
      </text>
    </comment>
    <comment ref="Q156" authorId="0">
      <text>
        <r>
          <rPr>
            <sz val="8"/>
            <rFont val="Tahoma"/>
            <family val="0"/>
          </rPr>
          <t>1-9 Legos Switch"
MS. Közép-Nagy</t>
        </r>
      </text>
    </comment>
    <comment ref="Q157" authorId="0">
      <text>
        <r>
          <rPr>
            <sz val="8"/>
            <rFont val="Tahoma"/>
            <family val="0"/>
          </rPr>
          <t>1-9 Legos Switch"
MS. Közép-Nagy</t>
        </r>
      </text>
    </comment>
    <comment ref="Q158" authorId="0">
      <text>
        <r>
          <rPr>
            <sz val="8"/>
            <rFont val="Tahoma"/>
            <family val="0"/>
          </rPr>
          <t>1-9 Legos Switch"
MS. Közép-Nagy</t>
        </r>
      </text>
    </comment>
    <comment ref="Q159" authorId="0">
      <text>
        <r>
          <rPr>
            <sz val="8"/>
            <rFont val="Tahoma"/>
            <family val="0"/>
          </rPr>
          <t>1-9 Legos Switch"
MS. Közép-Nagy</t>
        </r>
      </text>
    </comment>
    <comment ref="Q160" authorId="0">
      <text>
        <r>
          <rPr>
            <sz val="8"/>
            <rFont val="Tahoma"/>
            <family val="0"/>
          </rPr>
          <t>1-9 Legos Switch"
MS. Közép-Nagy</t>
        </r>
      </text>
    </comment>
    <comment ref="Q165" authorId="0">
      <text>
        <r>
          <rPr>
            <sz val="8"/>
            <rFont val="Tahoma"/>
            <family val="0"/>
          </rPr>
          <t>1-9 Legos Switch"
LS. Extra-Nagy</t>
        </r>
      </text>
    </comment>
    <comment ref="Q166" authorId="0">
      <text>
        <r>
          <rPr>
            <sz val="8"/>
            <rFont val="Tahoma"/>
            <family val="0"/>
          </rPr>
          <t>1-9 Legos Switch"
LS. Extra-Nagy</t>
        </r>
      </text>
    </comment>
    <comment ref="Q167" authorId="0">
      <text>
        <r>
          <rPr>
            <sz val="8"/>
            <rFont val="Tahoma"/>
            <family val="0"/>
          </rPr>
          <t>1-9 Legos Switch"
LS. Extra-Nagy</t>
        </r>
      </text>
    </comment>
    <comment ref="Q168" authorId="0">
      <text>
        <r>
          <rPr>
            <sz val="8"/>
            <rFont val="Tahoma"/>
            <family val="0"/>
          </rPr>
          <t>1-9 Legos Switch"
LS. Extra-Nagy</t>
        </r>
      </text>
    </comment>
    <comment ref="Q169" authorId="0">
      <text>
        <r>
          <rPr>
            <sz val="8"/>
            <rFont val="Tahoma"/>
            <family val="0"/>
          </rPr>
          <t>1-9 Legos Switch"
LS. Extra-Nagy</t>
        </r>
      </text>
    </comment>
    <comment ref="Q170" authorId="0">
      <text>
        <r>
          <rPr>
            <sz val="8"/>
            <rFont val="Tahoma"/>
            <family val="0"/>
          </rPr>
          <t>1-9 Legos Switch"
LS. Extra-Nagy</t>
        </r>
      </text>
    </comment>
    <comment ref="Q171" authorId="0">
      <text>
        <r>
          <rPr>
            <sz val="8"/>
            <rFont val="Tahoma"/>
            <family val="0"/>
          </rPr>
          <t>1-9 Legos Switch"
LS. Extra-Nagy</t>
        </r>
      </text>
    </comment>
    <comment ref="Q175" authorId="0">
      <text>
        <r>
          <rPr>
            <sz val="8"/>
            <rFont val="Tahoma"/>
            <family val="0"/>
          </rPr>
          <t>1-9 Legos Switch"
xLS. Super-Nagy</t>
        </r>
      </text>
    </comment>
    <comment ref="Q176" authorId="0">
      <text>
        <r>
          <rPr>
            <sz val="8"/>
            <rFont val="Tahoma"/>
            <family val="0"/>
          </rPr>
          <t>1-9 Legos Switch"
xLS. Super-Nagy</t>
        </r>
      </text>
    </comment>
    <comment ref="Q177" authorId="0">
      <text>
        <r>
          <rPr>
            <sz val="8"/>
            <rFont val="Tahoma"/>
            <family val="0"/>
          </rPr>
          <t>1-9 Legos Switch"
xLS. Super-Nagy</t>
        </r>
      </text>
    </comment>
    <comment ref="Q178" authorId="0">
      <text>
        <r>
          <rPr>
            <sz val="8"/>
            <rFont val="Tahoma"/>
            <family val="0"/>
          </rPr>
          <t>1-9 Legos Switch"
xLS. Super-Nagy</t>
        </r>
      </text>
    </comment>
    <comment ref="Q179" authorId="0">
      <text>
        <r>
          <rPr>
            <sz val="8"/>
            <rFont val="Tahoma"/>
            <family val="0"/>
          </rPr>
          <t>1-9 Legos Switch"
xLS. Super-Nagy</t>
        </r>
      </text>
    </comment>
    <comment ref="Q180" authorId="0">
      <text>
        <r>
          <rPr>
            <sz val="8"/>
            <rFont val="Tahoma"/>
            <family val="0"/>
          </rPr>
          <t>1-9 Legos Switch"
xLS. Super-Nagy</t>
        </r>
      </text>
    </comment>
    <comment ref="Q181" authorId="0">
      <text>
        <r>
          <rPr>
            <sz val="8"/>
            <rFont val="Tahoma"/>
            <family val="0"/>
          </rPr>
          <t>1-9 Legos Switch"
xLS. Super-Nagy</t>
        </r>
      </text>
    </comment>
    <comment ref="Q182" authorId="0">
      <text>
        <r>
          <rPr>
            <sz val="8"/>
            <rFont val="Tahoma"/>
            <family val="0"/>
          </rPr>
          <t>1-9 Legos Switch"
xLS. Super-Nagy</t>
        </r>
      </text>
    </comment>
    <comment ref="Q184" authorId="0">
      <text>
        <r>
          <rPr>
            <sz val="8"/>
            <rFont val="Tahoma"/>
            <family val="0"/>
          </rPr>
          <t>1-9 Legos Switch"
xLS. Super-Nagy végfalak</t>
        </r>
      </text>
    </comment>
    <comment ref="Q192" authorId="0">
      <text>
        <r>
          <rPr>
            <sz val="8"/>
            <rFont val="Tahoma"/>
            <family val="0"/>
          </rPr>
          <t>Zárófal
(félsorolás végeleme)</t>
        </r>
      </text>
    </comment>
    <comment ref="Q203" authorId="0">
      <text>
        <r>
          <rPr>
            <sz val="8"/>
            <rFont val="Tahoma"/>
            <family val="0"/>
          </rPr>
          <t xml:space="preserve">Közép főfal
</t>
        </r>
        <r>
          <rPr>
            <b/>
            <sz val="8"/>
            <rFont val="Tahoma"/>
            <family val="2"/>
          </rPr>
          <t>Skf.</t>
        </r>
        <r>
          <rPr>
            <sz val="8"/>
            <rFont val="Tahoma"/>
            <family val="0"/>
          </rPr>
          <t xml:space="preserve">
(Switch-ek összekötöje)</t>
        </r>
      </text>
    </comment>
    <comment ref="Q204" authorId="0">
      <text>
        <r>
          <rPr>
            <sz val="8"/>
            <rFont val="Tahoma"/>
            <family val="0"/>
          </rPr>
          <t xml:space="preserve">Közép főfal
</t>
        </r>
        <r>
          <rPr>
            <b/>
            <sz val="8"/>
            <rFont val="Tahoma"/>
            <family val="2"/>
          </rPr>
          <t>Skf.</t>
        </r>
        <r>
          <rPr>
            <sz val="8"/>
            <rFont val="Tahoma"/>
            <family val="0"/>
          </rPr>
          <t xml:space="preserve">
(Switch-ek összekötöje)</t>
        </r>
      </text>
    </comment>
    <comment ref="Q205" authorId="0">
      <text>
        <r>
          <rPr>
            <sz val="8"/>
            <rFont val="Tahoma"/>
            <family val="0"/>
          </rPr>
          <t xml:space="preserve">Közép főfal
</t>
        </r>
        <r>
          <rPr>
            <b/>
            <sz val="8"/>
            <rFont val="Tahoma"/>
            <family val="2"/>
          </rPr>
          <t>Skf.</t>
        </r>
        <r>
          <rPr>
            <sz val="8"/>
            <rFont val="Tahoma"/>
            <family val="0"/>
          </rPr>
          <t xml:space="preserve">
(Switch-ek összekötöje)</t>
        </r>
      </text>
    </comment>
    <comment ref="Q206" authorId="0">
      <text>
        <r>
          <rPr>
            <sz val="8"/>
            <rFont val="Tahoma"/>
            <family val="0"/>
          </rPr>
          <t xml:space="preserve">Közép főfal
</t>
        </r>
        <r>
          <rPr>
            <b/>
            <sz val="8"/>
            <rFont val="Tahoma"/>
            <family val="2"/>
          </rPr>
          <t>Skf.</t>
        </r>
        <r>
          <rPr>
            <sz val="8"/>
            <rFont val="Tahoma"/>
            <family val="0"/>
          </rPr>
          <t xml:space="preserve">
(Switch-ek összekötöje)</t>
        </r>
      </text>
    </comment>
    <comment ref="Q207" authorId="0">
      <text>
        <r>
          <rPr>
            <sz val="8"/>
            <rFont val="Tahoma"/>
            <family val="0"/>
          </rPr>
          <t xml:space="preserve">Közép főfal
</t>
        </r>
        <r>
          <rPr>
            <b/>
            <sz val="8"/>
            <rFont val="Tahoma"/>
            <family val="2"/>
          </rPr>
          <t>Skf.</t>
        </r>
        <r>
          <rPr>
            <sz val="8"/>
            <rFont val="Tahoma"/>
            <family val="0"/>
          </rPr>
          <t xml:space="preserve">
(Switch-ek összekötöje)</t>
        </r>
      </text>
    </comment>
    <comment ref="Q208" authorId="0">
      <text>
        <r>
          <rPr>
            <sz val="8"/>
            <rFont val="Tahoma"/>
            <family val="0"/>
          </rPr>
          <t xml:space="preserve">Közép főfal
</t>
        </r>
        <r>
          <rPr>
            <b/>
            <sz val="8"/>
            <rFont val="Tahoma"/>
            <family val="2"/>
          </rPr>
          <t>Skf.</t>
        </r>
        <r>
          <rPr>
            <sz val="8"/>
            <rFont val="Tahoma"/>
            <family val="0"/>
          </rPr>
          <t xml:space="preserve">
(Switch-ek összekötöje)</t>
        </r>
      </text>
    </comment>
    <comment ref="Q209" authorId="0">
      <text>
        <r>
          <rPr>
            <sz val="8"/>
            <rFont val="Tahoma"/>
            <family val="0"/>
          </rPr>
          <t xml:space="preserve">Közép főfal
</t>
        </r>
        <r>
          <rPr>
            <b/>
            <sz val="8"/>
            <rFont val="Tahoma"/>
            <family val="2"/>
          </rPr>
          <t>Skf.</t>
        </r>
        <r>
          <rPr>
            <sz val="8"/>
            <rFont val="Tahoma"/>
            <family val="0"/>
          </rPr>
          <t xml:space="preserve">
(Switch-ek összekötöje)</t>
        </r>
      </text>
    </comment>
    <comment ref="Q210" authorId="0">
      <text>
        <r>
          <rPr>
            <sz val="8"/>
            <rFont val="Tahoma"/>
            <family val="0"/>
          </rPr>
          <t xml:space="preserve">Közép főfal
</t>
        </r>
        <r>
          <rPr>
            <b/>
            <sz val="8"/>
            <rFont val="Tahoma"/>
            <family val="2"/>
          </rPr>
          <t>Skf.</t>
        </r>
        <r>
          <rPr>
            <sz val="8"/>
            <rFont val="Tahoma"/>
            <family val="0"/>
          </rPr>
          <t xml:space="preserve">
(Switch-ek összekötöje)</t>
        </r>
      </text>
    </comment>
    <comment ref="Q211" authorId="0">
      <text>
        <r>
          <rPr>
            <sz val="8"/>
            <rFont val="Tahoma"/>
            <family val="0"/>
          </rPr>
          <t xml:space="preserve">Közép főfal
</t>
        </r>
        <r>
          <rPr>
            <b/>
            <sz val="8"/>
            <rFont val="Tahoma"/>
            <family val="2"/>
          </rPr>
          <t>Skf.</t>
        </r>
        <r>
          <rPr>
            <sz val="8"/>
            <rFont val="Tahoma"/>
            <family val="0"/>
          </rPr>
          <t xml:space="preserve">
(Switch-ek összekötöje)</t>
        </r>
      </text>
    </comment>
    <comment ref="Q219" authorId="0">
      <text>
        <r>
          <rPr>
            <sz val="8"/>
            <rFont val="Tahoma"/>
            <family val="0"/>
          </rPr>
          <t>Ews.1-9
un. Angol ablak
(teljes értékű bővítők)</t>
        </r>
      </text>
    </comment>
    <comment ref="Q220" authorId="0">
      <text>
        <r>
          <rPr>
            <sz val="8"/>
            <rFont val="Tahoma"/>
            <family val="0"/>
          </rPr>
          <t xml:space="preserve">Ews.1-9
Angol ablak végfalak
</t>
        </r>
      </text>
    </comment>
    <comment ref="Q223" authorId="0">
      <text>
        <r>
          <rPr>
            <sz val="8"/>
            <rFont val="Tahoma"/>
            <family val="0"/>
          </rPr>
          <t>Ews.1-9 Angol ablak
(90/60 ablakkal)
+ Ew.w végfal 2db számolandó</t>
        </r>
      </text>
    </comment>
    <comment ref="Q224" authorId="0">
      <text>
        <r>
          <rPr>
            <sz val="8"/>
            <rFont val="Tahoma"/>
            <family val="0"/>
          </rPr>
          <t>Ews.1-9 Angol ablak
(90/90 ablakkal)
+ Ew.w végfal 2db számolandó</t>
        </r>
      </text>
    </comment>
    <comment ref="Q225" authorId="0">
      <text>
        <r>
          <rPr>
            <sz val="8"/>
            <rFont val="Tahoma"/>
            <family val="0"/>
          </rPr>
          <t>Ews.1-9 Angol ablak
(90/120 ablakkal)
+ Ew.w végfal 2db számolandó</t>
        </r>
      </text>
    </comment>
    <comment ref="Q234" authorId="0">
      <text>
        <r>
          <rPr>
            <sz val="8"/>
            <rFont val="Tahoma"/>
            <family val="0"/>
          </rPr>
          <t xml:space="preserve">EN.1-9 külső előszoba sáv
</t>
        </r>
        <r>
          <rPr>
            <b/>
            <sz val="8"/>
            <rFont val="Tahoma"/>
            <family val="2"/>
          </rPr>
          <t>Figyelem:</t>
        </r>
        <r>
          <rPr>
            <sz val="8"/>
            <rFont val="Tahoma"/>
            <family val="0"/>
          </rPr>
          <t xml:space="preserve"> a további 2 cella nem tartozék, külön tételként számolandó</t>
        </r>
      </text>
    </comment>
    <comment ref="Q235" authorId="0">
      <text>
        <r>
          <rPr>
            <sz val="8"/>
            <rFont val="Tahoma"/>
            <family val="0"/>
          </rPr>
          <t xml:space="preserve"> </t>
        </r>
        <r>
          <rPr>
            <b/>
            <sz val="8"/>
            <rFont val="Tahoma"/>
            <family val="2"/>
          </rPr>
          <t>En.fv</t>
        </r>
        <r>
          <rPr>
            <sz val="8"/>
            <rFont val="Tahoma"/>
            <family val="0"/>
          </rPr>
          <t xml:space="preserve"> végfal 2db számolandó</t>
        </r>
      </text>
    </comment>
    <comment ref="Q236" authorId="0">
      <text>
        <r>
          <rPr>
            <sz val="8"/>
            <rFont val="Tahoma"/>
            <family val="0"/>
          </rPr>
          <t xml:space="preserve">ha kell 
+ </t>
        </r>
        <r>
          <rPr>
            <b/>
            <sz val="8"/>
            <rFont val="Tahoma"/>
            <family val="2"/>
          </rPr>
          <t>En.tető</t>
        </r>
        <r>
          <rPr>
            <sz val="8"/>
            <rFont val="Tahoma"/>
            <family val="0"/>
          </rPr>
          <t xml:space="preserve"> előtető 1db számolandó</t>
        </r>
      </text>
    </comment>
    <comment ref="Q243" authorId="0">
      <text>
        <r>
          <rPr>
            <sz val="8"/>
            <rFont val="Tahoma"/>
            <family val="0"/>
          </rPr>
          <t xml:space="preserve">Szóló </t>
        </r>
        <r>
          <rPr>
            <b/>
            <sz val="8"/>
            <rFont val="Tahoma"/>
            <family val="2"/>
          </rPr>
          <t>Garázs</t>
        </r>
        <r>
          <rPr>
            <sz val="8"/>
            <rFont val="Tahoma"/>
            <family val="0"/>
          </rPr>
          <t xml:space="preserve"> (no kamra)</t>
        </r>
      </text>
    </comment>
    <comment ref="Q244" authorId="0">
      <text>
        <r>
          <rPr>
            <sz val="8"/>
            <rFont val="Tahoma"/>
            <family val="0"/>
          </rPr>
          <t xml:space="preserve">Iker </t>
        </r>
        <r>
          <rPr>
            <b/>
            <sz val="8"/>
            <rFont val="Tahoma"/>
            <family val="2"/>
          </rPr>
          <t>Garázs</t>
        </r>
        <r>
          <rPr>
            <sz val="8"/>
            <rFont val="Tahoma"/>
            <family val="0"/>
          </rPr>
          <t xml:space="preserve"> (no kamra)
egymás között nincs fal</t>
        </r>
      </text>
    </comment>
    <comment ref="Q245" authorId="0">
      <text>
        <r>
          <rPr>
            <sz val="8"/>
            <rFont val="Tahoma"/>
            <family val="0"/>
          </rPr>
          <t xml:space="preserve">Iker </t>
        </r>
        <r>
          <rPr>
            <b/>
            <sz val="8"/>
            <rFont val="Tahoma"/>
            <family val="2"/>
          </rPr>
          <t>Garázs</t>
        </r>
        <r>
          <rPr>
            <sz val="8"/>
            <rFont val="Tahoma"/>
            <family val="0"/>
          </rPr>
          <t xml:space="preserve"> (no kamra)
egymástól független</t>
        </r>
      </text>
    </comment>
    <comment ref="Q246" authorId="0">
      <text>
        <r>
          <rPr>
            <sz val="8"/>
            <rFont val="Tahoma"/>
            <family val="0"/>
          </rPr>
          <t xml:space="preserve">Szóló </t>
        </r>
        <r>
          <rPr>
            <b/>
            <sz val="8"/>
            <rFont val="Tahoma"/>
            <family val="2"/>
          </rPr>
          <t>Garázs</t>
        </r>
        <r>
          <rPr>
            <sz val="8"/>
            <rFont val="Tahoma"/>
            <family val="0"/>
          </rPr>
          <t xml:space="preserve"> (kamrával)</t>
        </r>
      </text>
    </comment>
    <comment ref="Q247" authorId="0">
      <text>
        <r>
          <rPr>
            <sz val="8"/>
            <rFont val="Tahoma"/>
            <family val="0"/>
          </rPr>
          <t xml:space="preserve">Iker </t>
        </r>
        <r>
          <rPr>
            <b/>
            <sz val="8"/>
            <rFont val="Tahoma"/>
            <family val="2"/>
          </rPr>
          <t>Garázs</t>
        </r>
        <r>
          <rPr>
            <sz val="8"/>
            <rFont val="Tahoma"/>
            <family val="0"/>
          </rPr>
          <t xml:space="preserve"> (kamrával)
egybe nyitott, dupla</t>
        </r>
      </text>
    </comment>
    <comment ref="Q248" authorId="0">
      <text>
        <r>
          <rPr>
            <sz val="8"/>
            <rFont val="Tahoma"/>
            <family val="0"/>
          </rPr>
          <t xml:space="preserve">Tandem </t>
        </r>
        <r>
          <rPr>
            <b/>
            <sz val="8"/>
            <rFont val="Tahoma"/>
            <family val="2"/>
          </rPr>
          <t>Garázs</t>
        </r>
        <r>
          <rPr>
            <sz val="8"/>
            <rFont val="Tahoma"/>
            <family val="0"/>
          </rPr>
          <t xml:space="preserve"> (no kamra)
Háttal sorolt</t>
        </r>
      </text>
    </comment>
    <comment ref="Q257" authorId="0">
      <text>
        <r>
          <rPr>
            <b/>
            <sz val="8"/>
            <rFont val="Tahoma"/>
            <family val="2"/>
          </rPr>
          <t>kamra</t>
        </r>
        <r>
          <rPr>
            <sz val="8"/>
            <rFont val="Tahoma"/>
            <family val="0"/>
          </rPr>
          <t xml:space="preserve"> dominó
csatlakozhat Garázshoz, Egyterűhöz, dominó hoz
...a kis ikonra katt, eldönthető melyik kell</t>
        </r>
      </text>
    </comment>
    <comment ref="Q269" authorId="0">
      <text>
        <r>
          <rPr>
            <b/>
            <sz val="8"/>
            <rFont val="Tahoma"/>
            <family val="2"/>
          </rPr>
          <t>Egyterű</t>
        </r>
        <r>
          <rPr>
            <sz val="8"/>
            <rFont val="Tahoma"/>
            <family val="0"/>
          </rPr>
          <t xml:space="preserve"> dominó
csatlakozhat Garázshoz, Egyterűhöz, mobilházhoz
...a kis ikon-képre katt, eldönthető melyik kell</t>
        </r>
      </text>
    </comment>
    <comment ref="Q285" authorId="0">
      <text>
        <r>
          <rPr>
            <b/>
            <sz val="8"/>
            <rFont val="Tahoma"/>
            <family val="2"/>
          </rPr>
          <t>válaszfalak</t>
        </r>
        <r>
          <rPr>
            <sz val="8"/>
            <rFont val="Tahoma"/>
            <family val="0"/>
          </rPr>
          <t xml:space="preserve"> összesítő cellája:
</t>
        </r>
        <r>
          <rPr>
            <b/>
            <sz val="8"/>
            <rFont val="Tahoma"/>
            <family val="2"/>
          </rPr>
          <t>beütök</t>
        </r>
        <r>
          <rPr>
            <sz val="8"/>
            <rFont val="Tahoma"/>
            <family val="0"/>
          </rPr>
          <t xml:space="preserve"> egy </t>
        </r>
        <r>
          <rPr>
            <b/>
            <sz val="8"/>
            <rFont val="Tahoma"/>
            <family val="2"/>
          </rPr>
          <t>=</t>
        </r>
        <r>
          <rPr>
            <sz val="8"/>
            <rFont val="Tahoma"/>
            <family val="0"/>
          </rPr>
          <t xml:space="preserve"> (egyenlő) jelet és a rajzkóta szerint plusszolgatom  a métereket, majd </t>
        </r>
        <r>
          <rPr>
            <b/>
            <sz val="8"/>
            <rFont val="Tahoma"/>
            <family val="2"/>
          </rPr>
          <t>enter</t>
        </r>
      </text>
    </comment>
    <comment ref="Q287" authorId="0">
      <text>
        <r>
          <rPr>
            <b/>
            <sz val="8"/>
            <rFont val="Tahoma"/>
            <family val="2"/>
          </rPr>
          <t>Sessy falak</t>
        </r>
        <r>
          <rPr>
            <sz val="8"/>
            <rFont val="Tahoma"/>
            <family val="0"/>
          </rPr>
          <t xml:space="preserve"> rövid
Hossz vagy keresztfalak az általánosnál számítandók</t>
        </r>
      </text>
    </comment>
    <comment ref="Q288" authorId="0">
      <text>
        <r>
          <rPr>
            <b/>
            <sz val="8"/>
            <rFont val="Tahoma"/>
            <family val="2"/>
          </rPr>
          <t>Meddy falak</t>
        </r>
        <r>
          <rPr>
            <sz val="8"/>
            <rFont val="Tahoma"/>
            <family val="0"/>
          </rPr>
          <t xml:space="preserve"> rövid</t>
        </r>
      </text>
    </comment>
    <comment ref="Q289" authorId="0">
      <text>
        <r>
          <rPr>
            <b/>
            <sz val="8"/>
            <rFont val="Tahoma"/>
            <family val="2"/>
          </rPr>
          <t>Lissy falak</t>
        </r>
        <r>
          <rPr>
            <sz val="8"/>
            <rFont val="Tahoma"/>
            <family val="0"/>
          </rPr>
          <t xml:space="preserve"> rövid</t>
        </r>
      </text>
    </comment>
    <comment ref="Q290" authorId="0">
      <text>
        <r>
          <rPr>
            <b/>
            <sz val="8"/>
            <rFont val="Tahoma"/>
            <family val="2"/>
          </rPr>
          <t>xLissy falak</t>
        </r>
        <r>
          <rPr>
            <sz val="8"/>
            <rFont val="Tahoma"/>
            <family val="0"/>
          </rPr>
          <t xml:space="preserve"> rövid</t>
        </r>
      </text>
    </comment>
    <comment ref="Q293" authorId="0">
      <text>
        <r>
          <rPr>
            <b/>
            <sz val="8"/>
            <rFont val="Tahoma"/>
            <family val="2"/>
          </rPr>
          <t>Bejárati ajtó</t>
        </r>
        <r>
          <rPr>
            <sz val="8"/>
            <rFont val="Tahoma"/>
            <family val="0"/>
          </rPr>
          <t xml:space="preserve">
pl. ha két bejáratos</t>
        </r>
      </text>
    </comment>
    <comment ref="Q294" authorId="0">
      <text>
        <r>
          <rPr>
            <b/>
            <sz val="8"/>
            <rFont val="Tahoma"/>
            <family val="2"/>
          </rPr>
          <t>válaszfal ajtó</t>
        </r>
        <r>
          <rPr>
            <sz val="8"/>
            <rFont val="Tahoma"/>
            <family val="0"/>
          </rPr>
          <t xml:space="preserve">
minden szobadominó 1db ajtót tartalmaz.
a többletet itt számolom</t>
        </r>
      </text>
    </comment>
    <comment ref="Q377" authorId="0">
      <text>
        <r>
          <rPr>
            <b/>
            <sz val="8"/>
            <rFont val="Tahoma"/>
            <family val="2"/>
          </rPr>
          <t xml:space="preserve">- ez a cella hozza át a szereld magad árakat
</t>
        </r>
        <r>
          <rPr>
            <b/>
            <sz val="8"/>
            <color indexed="12"/>
            <rFont val="Tahoma"/>
            <family val="2"/>
          </rPr>
          <t>ha van, beírok egy 1-est</t>
        </r>
      </text>
    </comment>
    <comment ref="Q386" authorId="0">
      <text>
        <r>
          <rPr>
            <sz val="8"/>
            <rFont val="Tahoma"/>
            <family val="0"/>
          </rPr>
          <t xml:space="preserve">Két dominó között, ha nincs fal, </t>
        </r>
        <r>
          <rPr>
            <b/>
            <sz val="8"/>
            <rFont val="Tahoma"/>
            <family val="2"/>
          </rPr>
          <t>itt vonom le , mint kedvezményt azt.</t>
        </r>
        <r>
          <rPr>
            <sz val="8"/>
            <rFont val="Tahoma"/>
            <family val="0"/>
          </rPr>
          <t xml:space="preserve">
</t>
        </r>
        <r>
          <rPr>
            <sz val="8"/>
            <color indexed="12"/>
            <rFont val="Tahoma"/>
            <family val="2"/>
          </rPr>
          <t xml:space="preserve">pl. látom, hogy egy egész és egy fél Legó fal nics, beírom = 1,5 8ha van több is plusszolgatom és </t>
        </r>
        <r>
          <rPr>
            <b/>
            <sz val="8"/>
            <color indexed="12"/>
            <rFont val="Tahoma"/>
            <family val="2"/>
          </rPr>
          <t>enter</t>
        </r>
      </text>
    </comment>
    <comment ref="Q387" authorId="0">
      <text>
        <r>
          <rPr>
            <b/>
            <sz val="8"/>
            <rFont val="Tahoma"/>
            <family val="0"/>
          </rPr>
          <t>mint előző</t>
        </r>
        <r>
          <rPr>
            <sz val="8"/>
            <rFont val="Tahoma"/>
            <family val="0"/>
          </rPr>
          <t xml:space="preserve">
</t>
        </r>
      </text>
    </comment>
    <comment ref="Q388" authorId="0">
      <text>
        <r>
          <rPr>
            <b/>
            <sz val="8"/>
            <rFont val="Tahoma"/>
            <family val="0"/>
          </rPr>
          <t>mint előző</t>
        </r>
        <r>
          <rPr>
            <sz val="8"/>
            <rFont val="Tahoma"/>
            <family val="0"/>
          </rPr>
          <t xml:space="preserve">
</t>
        </r>
      </text>
    </comment>
    <comment ref="Q389" authorId="0">
      <text>
        <r>
          <rPr>
            <b/>
            <sz val="8"/>
            <rFont val="Tahoma"/>
            <family val="0"/>
          </rPr>
          <t>mint előző</t>
        </r>
        <r>
          <rPr>
            <sz val="8"/>
            <rFont val="Tahoma"/>
            <family val="0"/>
          </rPr>
          <t xml:space="preserve">
</t>
        </r>
      </text>
    </comment>
    <comment ref="J433" authorId="0">
      <text>
        <r>
          <rPr>
            <b/>
            <sz val="8"/>
            <rFont val="Tahoma"/>
            <family val="0"/>
          </rPr>
          <t>S  dominók</t>
        </r>
      </text>
    </comment>
    <comment ref="J434" authorId="0">
      <text>
        <r>
          <rPr>
            <b/>
            <sz val="8"/>
            <rFont val="Tahoma"/>
            <family val="0"/>
          </rPr>
          <t>M  dominók</t>
        </r>
      </text>
    </comment>
    <comment ref="J435" authorId="0">
      <text>
        <r>
          <rPr>
            <b/>
            <sz val="8"/>
            <rFont val="Tahoma"/>
            <family val="0"/>
          </rPr>
          <t>L  dominók</t>
        </r>
      </text>
    </comment>
    <comment ref="J436" authorId="0">
      <text>
        <r>
          <rPr>
            <b/>
            <sz val="8"/>
            <rFont val="Tahoma"/>
            <family val="0"/>
          </rPr>
          <t>xL  dominók</t>
        </r>
      </text>
    </comment>
    <comment ref="S435" authorId="0">
      <text>
        <r>
          <rPr>
            <b/>
            <sz val="8"/>
            <rFont val="Tahoma"/>
            <family val="0"/>
          </rPr>
          <t>angol ablak Console</t>
        </r>
        <r>
          <rPr>
            <sz val="8"/>
            <rFont val="Tahoma"/>
            <family val="0"/>
          </rPr>
          <t xml:space="preserve">
</t>
        </r>
      </text>
    </comment>
    <comment ref="S434" authorId="0">
      <text>
        <r>
          <rPr>
            <b/>
            <sz val="8"/>
            <rFont val="Tahoma"/>
            <family val="0"/>
          </rPr>
          <t>Skf - Sf</t>
        </r>
        <r>
          <rPr>
            <sz val="8"/>
            <rFont val="Tahoma"/>
            <family val="2"/>
          </rPr>
          <t xml:space="preserve"> közép és zárofalak
</t>
        </r>
      </text>
    </comment>
    <comment ref="S433" authorId="0">
      <text>
        <r>
          <rPr>
            <b/>
            <sz val="8"/>
            <rFont val="Tahoma"/>
            <family val="0"/>
          </rPr>
          <t>Kapcs./B</t>
        </r>
        <r>
          <rPr>
            <sz val="8"/>
            <rFont val="Tahoma"/>
            <family val="2"/>
          </rPr>
          <t xml:space="preserve">ővítők  és végfalai (sorolók)
</t>
        </r>
      </text>
    </comment>
    <comment ref="AA436" authorId="0">
      <text>
        <r>
          <rPr>
            <b/>
            <sz val="8"/>
            <rFont val="Tahoma"/>
            <family val="0"/>
          </rPr>
          <t>válaszfalak</t>
        </r>
        <r>
          <rPr>
            <sz val="8"/>
            <rFont val="Tahoma"/>
            <family val="0"/>
          </rPr>
          <t xml:space="preserve">
</t>
        </r>
      </text>
    </comment>
    <comment ref="AA434" authorId="0">
      <text>
        <r>
          <rPr>
            <b/>
            <sz val="8"/>
            <rFont val="Tahoma"/>
            <family val="0"/>
          </rPr>
          <t>Kerékpártár, Kamrák</t>
        </r>
        <r>
          <rPr>
            <sz val="8"/>
            <rFont val="Tahoma"/>
            <family val="0"/>
          </rPr>
          <t xml:space="preserve">
</t>
        </r>
      </text>
    </comment>
    <comment ref="AA433" authorId="0">
      <text>
        <r>
          <rPr>
            <b/>
            <sz val="8"/>
            <rFont val="Tahoma"/>
            <family val="0"/>
          </rPr>
          <t>Garázsok</t>
        </r>
        <r>
          <rPr>
            <sz val="8"/>
            <rFont val="Tahoma"/>
            <family val="0"/>
          </rPr>
          <t xml:space="preserve">
</t>
        </r>
      </text>
    </comment>
    <comment ref="X430" authorId="0">
      <text>
        <r>
          <rPr>
            <b/>
            <sz val="8"/>
            <rFont val="Tahoma"/>
            <family val="0"/>
          </rPr>
          <t xml:space="preserve">telephelyi átvételi ár </t>
        </r>
        <r>
          <rPr>
            <sz val="8"/>
            <rFont val="Tahoma"/>
            <family val="2"/>
          </rPr>
          <t>összesen</t>
        </r>
      </text>
    </comment>
    <comment ref="W430" authorId="0">
      <text>
        <r>
          <rPr>
            <b/>
            <sz val="8"/>
            <rFont val="Tahoma"/>
            <family val="0"/>
          </rPr>
          <t>nettó Ft</t>
        </r>
        <r>
          <rPr>
            <sz val="8"/>
            <rFont val="Tahoma"/>
            <family val="0"/>
          </rPr>
          <t xml:space="preserve">
</t>
        </r>
      </text>
    </comment>
    <comment ref="Z430" authorId="0">
      <text>
        <r>
          <rPr>
            <b/>
            <sz val="8"/>
            <rFont val="Tahoma"/>
            <family val="0"/>
          </rPr>
          <t>Netto Euro</t>
        </r>
        <r>
          <rPr>
            <sz val="8"/>
            <rFont val="Tahoma"/>
            <family val="0"/>
          </rPr>
          <t xml:space="preserve">
</t>
        </r>
      </text>
    </comment>
    <comment ref="AA430" authorId="0">
      <text>
        <r>
          <rPr>
            <b/>
            <sz val="8"/>
            <rFont val="Tahoma"/>
            <family val="0"/>
          </rPr>
          <t>Brutto Euro</t>
        </r>
      </text>
    </comment>
    <comment ref="Q92" authorId="0">
      <text>
        <r>
          <rPr>
            <b/>
            <sz val="8"/>
            <rFont val="Tahoma"/>
            <family val="2"/>
          </rPr>
          <t>"xLissy</t>
        </r>
        <r>
          <rPr>
            <sz val="8"/>
            <rFont val="Tahoma"/>
            <family val="0"/>
          </rPr>
          <t xml:space="preserve"> komfort mag"
Fürdő/WC-alapkonyha-
bejárat</t>
        </r>
      </text>
    </comment>
    <comment ref="Q151" authorId="0">
      <text>
        <r>
          <rPr>
            <sz val="8"/>
            <rFont val="Tahoma"/>
            <family val="0"/>
          </rPr>
          <t>1-9 Ss-kis Nagy  "Switsh"
végfalak (szakszonként 2 db, mivel két vége van)</t>
        </r>
      </text>
    </comment>
    <comment ref="Q162" authorId="0">
      <text>
        <r>
          <rPr>
            <sz val="8"/>
            <rFont val="Tahoma"/>
            <family val="0"/>
          </rPr>
          <t>1-9 Ss. közép-Nagy  "Switsh"
végfalak (szakszonként 2 db, mivel két vége van)</t>
        </r>
      </text>
    </comment>
    <comment ref="Q173" authorId="0">
      <text>
        <r>
          <rPr>
            <sz val="8"/>
            <rFont val="Tahoma"/>
            <family val="0"/>
          </rPr>
          <t>1-9 Ss. extra-Nagy  "Switsh"
végfalak (szakszonként 2 db, mivel két vége van)</t>
        </r>
      </text>
    </comment>
    <comment ref="Q193" authorId="0">
      <text>
        <r>
          <rPr>
            <sz val="8"/>
            <rFont val="Tahoma"/>
            <family val="0"/>
          </rPr>
          <t xml:space="preserve">Közép főfal
</t>
        </r>
        <r>
          <rPr>
            <b/>
            <sz val="8"/>
            <rFont val="Tahoma"/>
            <family val="2"/>
          </rPr>
          <t>Skf.</t>
        </r>
        <r>
          <rPr>
            <sz val="8"/>
            <rFont val="Tahoma"/>
            <family val="0"/>
          </rPr>
          <t xml:space="preserve">
(Switch-ek összekötöje)</t>
        </r>
      </text>
    </comment>
    <comment ref="Q194" authorId="0">
      <text>
        <r>
          <rPr>
            <sz val="8"/>
            <rFont val="Tahoma"/>
            <family val="0"/>
          </rPr>
          <t xml:space="preserve">Közép főfal
</t>
        </r>
        <r>
          <rPr>
            <b/>
            <sz val="8"/>
            <rFont val="Tahoma"/>
            <family val="2"/>
          </rPr>
          <t>Skf.</t>
        </r>
        <r>
          <rPr>
            <sz val="8"/>
            <rFont val="Tahoma"/>
            <family val="0"/>
          </rPr>
          <t xml:space="preserve">
(Switch-ek összekötöje)</t>
        </r>
      </text>
    </comment>
    <comment ref="Q195" authorId="0">
      <text>
        <r>
          <rPr>
            <sz val="8"/>
            <rFont val="Tahoma"/>
            <family val="0"/>
          </rPr>
          <t xml:space="preserve">Közép főfal
</t>
        </r>
        <r>
          <rPr>
            <b/>
            <sz val="8"/>
            <rFont val="Tahoma"/>
            <family val="2"/>
          </rPr>
          <t>Skf.</t>
        </r>
        <r>
          <rPr>
            <sz val="8"/>
            <rFont val="Tahoma"/>
            <family val="0"/>
          </rPr>
          <t xml:space="preserve">
(Switch-ek összekötöje)</t>
        </r>
      </text>
    </comment>
    <comment ref="Q196" authorId="0">
      <text>
        <r>
          <rPr>
            <sz val="8"/>
            <rFont val="Tahoma"/>
            <family val="0"/>
          </rPr>
          <t xml:space="preserve">Közép főfal
</t>
        </r>
        <r>
          <rPr>
            <b/>
            <sz val="8"/>
            <rFont val="Tahoma"/>
            <family val="2"/>
          </rPr>
          <t>Skf.</t>
        </r>
        <r>
          <rPr>
            <sz val="8"/>
            <rFont val="Tahoma"/>
            <family val="0"/>
          </rPr>
          <t xml:space="preserve">
(Switch-ek összekötöje)</t>
        </r>
      </text>
    </comment>
    <comment ref="Q197" authorId="0">
      <text>
        <r>
          <rPr>
            <sz val="8"/>
            <rFont val="Tahoma"/>
            <family val="0"/>
          </rPr>
          <t xml:space="preserve">Közép főfal
</t>
        </r>
        <r>
          <rPr>
            <b/>
            <sz val="8"/>
            <rFont val="Tahoma"/>
            <family val="2"/>
          </rPr>
          <t>Skf.</t>
        </r>
        <r>
          <rPr>
            <sz val="8"/>
            <rFont val="Tahoma"/>
            <family val="0"/>
          </rPr>
          <t xml:space="preserve">
(Switch-ek összekötöje)</t>
        </r>
      </text>
    </comment>
    <comment ref="Q198" authorId="0">
      <text>
        <r>
          <rPr>
            <sz val="8"/>
            <rFont val="Tahoma"/>
            <family val="0"/>
          </rPr>
          <t xml:space="preserve">Közép főfal
</t>
        </r>
        <r>
          <rPr>
            <b/>
            <sz val="8"/>
            <rFont val="Tahoma"/>
            <family val="2"/>
          </rPr>
          <t>Skf.</t>
        </r>
        <r>
          <rPr>
            <sz val="8"/>
            <rFont val="Tahoma"/>
            <family val="0"/>
          </rPr>
          <t xml:space="preserve">
(Switch-ek összekötöje)</t>
        </r>
      </text>
    </comment>
    <comment ref="Q199" authorId="0">
      <text>
        <r>
          <rPr>
            <sz val="8"/>
            <rFont val="Tahoma"/>
            <family val="0"/>
          </rPr>
          <t xml:space="preserve">Közép főfal
</t>
        </r>
        <r>
          <rPr>
            <b/>
            <sz val="8"/>
            <rFont val="Tahoma"/>
            <family val="2"/>
          </rPr>
          <t>Skf.</t>
        </r>
        <r>
          <rPr>
            <sz val="8"/>
            <rFont val="Tahoma"/>
            <family val="0"/>
          </rPr>
          <t xml:space="preserve">
(Switch-ek összekötöje)</t>
        </r>
      </text>
    </comment>
    <comment ref="Q200" authorId="0">
      <text>
        <r>
          <rPr>
            <sz val="8"/>
            <rFont val="Tahoma"/>
            <family val="0"/>
          </rPr>
          <t xml:space="preserve">Közép főfal
</t>
        </r>
        <r>
          <rPr>
            <b/>
            <sz val="8"/>
            <rFont val="Tahoma"/>
            <family val="2"/>
          </rPr>
          <t>Skf.</t>
        </r>
        <r>
          <rPr>
            <sz val="8"/>
            <rFont val="Tahoma"/>
            <family val="0"/>
          </rPr>
          <t xml:space="preserve">
(Switch-ek összekötöje)</t>
        </r>
      </text>
    </comment>
    <comment ref="Q132" authorId="0">
      <text>
        <r>
          <rPr>
            <sz val="8"/>
            <rFont val="Tahoma"/>
            <family val="0"/>
          </rPr>
          <t>1-9 Legos Switsh"
Direkt kapcsolók (ird be a Lego falak darabját)</t>
        </r>
      </text>
    </comment>
    <comment ref="Q134" authorId="0">
      <text>
        <r>
          <rPr>
            <sz val="8"/>
            <rFont val="Tahoma"/>
            <family val="0"/>
          </rPr>
          <t>1-9 Legos Switsh"
végfalak
 (szakszonként 2 db,
 mivel két vége van)</t>
        </r>
      </text>
    </comment>
    <comment ref="J437" authorId="0">
      <text>
        <r>
          <rPr>
            <b/>
            <sz val="8"/>
            <rFont val="Tahoma"/>
            <family val="0"/>
          </rPr>
          <t>xL  dominók</t>
        </r>
      </text>
    </comment>
    <comment ref="S437" authorId="0">
      <text>
        <r>
          <rPr>
            <sz val="8"/>
            <rFont val="Tahoma"/>
            <family val="2"/>
          </rPr>
          <t>LEVONÁSOK:</t>
        </r>
        <r>
          <rPr>
            <b/>
            <sz val="8"/>
            <rFont val="Tahoma"/>
            <family val="0"/>
          </rPr>
          <t xml:space="preserve">
nem kell fal levonás</t>
        </r>
      </text>
    </comment>
    <comment ref="AA435" authorId="1">
      <text>
        <r>
          <rPr>
            <b/>
            <sz val="8"/>
            <rFont val="Tahoma"/>
            <family val="0"/>
          </rPr>
          <t>lemez alapos stabi egyterűek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<sst xmlns="http://schemas.openxmlformats.org/spreadsheetml/2006/main" count="1931" uniqueCount="728">
  <si>
    <t xml:space="preserve">   Ár2   Szobák</t>
  </si>
  <si>
    <t>Ár3  sz Magad</t>
  </si>
  <si>
    <t>Ár3   lapszerelt          szereld magad</t>
  </si>
  <si>
    <t>S.15</t>
  </si>
  <si>
    <t>S 15</t>
  </si>
  <si>
    <t>S-15</t>
  </si>
  <si>
    <t>M - 15</t>
  </si>
  <si>
    <t>M15</t>
  </si>
  <si>
    <t>S.25</t>
  </si>
  <si>
    <t>S 25</t>
  </si>
  <si>
    <t>S25</t>
  </si>
  <si>
    <t>M - 25</t>
  </si>
  <si>
    <t>M16</t>
  </si>
  <si>
    <t>S.35</t>
  </si>
  <si>
    <t>S 35</t>
  </si>
  <si>
    <t>S-35</t>
  </si>
  <si>
    <t>M - 35</t>
  </si>
  <si>
    <t>M17</t>
  </si>
  <si>
    <t>S.45</t>
  </si>
  <si>
    <t>S 45</t>
  </si>
  <si>
    <t>S-45</t>
  </si>
  <si>
    <t>M - 45</t>
  </si>
  <si>
    <t>M18</t>
  </si>
  <si>
    <t>S.55</t>
  </si>
  <si>
    <t>S 55</t>
  </si>
  <si>
    <t>S-55</t>
  </si>
  <si>
    <t>M - 55</t>
  </si>
  <si>
    <t>M19</t>
  </si>
  <si>
    <t>S.65</t>
  </si>
  <si>
    <t>S 65</t>
  </si>
  <si>
    <t>S-65</t>
  </si>
  <si>
    <t>M - 65</t>
  </si>
  <si>
    <t>M20</t>
  </si>
  <si>
    <t>S.75</t>
  </si>
  <si>
    <t>S 75</t>
  </si>
  <si>
    <t>S-75</t>
  </si>
  <si>
    <t>M - 75</t>
  </si>
  <si>
    <t>M21</t>
  </si>
  <si>
    <t>S.85</t>
  </si>
  <si>
    <t>S 85</t>
  </si>
  <si>
    <t>S-85</t>
  </si>
  <si>
    <t>M - 85</t>
  </si>
  <si>
    <t>M22</t>
  </si>
  <si>
    <t>S.95</t>
  </si>
  <si>
    <t>S 95</t>
  </si>
  <si>
    <t>S-95</t>
  </si>
  <si>
    <t>M - 95</t>
  </si>
  <si>
    <t>M23</t>
  </si>
  <si>
    <t xml:space="preserve">    Ár2   Szobák</t>
  </si>
  <si>
    <t>L.15</t>
  </si>
  <si>
    <t>L 15</t>
  </si>
  <si>
    <t>xL - 15</t>
  </si>
  <si>
    <t>xL15</t>
  </si>
  <si>
    <t>L.25</t>
  </si>
  <si>
    <t>L 25</t>
  </si>
  <si>
    <t>xL - 25</t>
  </si>
  <si>
    <t>xL16</t>
  </si>
  <si>
    <t>L.35</t>
  </si>
  <si>
    <t>L 35</t>
  </si>
  <si>
    <t>xL - 35</t>
  </si>
  <si>
    <t>xL17</t>
  </si>
  <si>
    <t>L.45</t>
  </si>
  <si>
    <t>L 45</t>
  </si>
  <si>
    <t>xL - 45</t>
  </si>
  <si>
    <t>xL18</t>
  </si>
  <si>
    <t>L.55</t>
  </si>
  <si>
    <t>L 55</t>
  </si>
  <si>
    <t>xL - 55</t>
  </si>
  <si>
    <t>xL19</t>
  </si>
  <si>
    <t>L.65</t>
  </si>
  <si>
    <t>L 65</t>
  </si>
  <si>
    <t>xL - 65</t>
  </si>
  <si>
    <t>xL20</t>
  </si>
  <si>
    <t>L.75</t>
  </si>
  <si>
    <t>L 75</t>
  </si>
  <si>
    <t>xL - 75</t>
  </si>
  <si>
    <t>xL21</t>
  </si>
  <si>
    <t>L.85</t>
  </si>
  <si>
    <t>L 85</t>
  </si>
  <si>
    <t>xL - 85</t>
  </si>
  <si>
    <t>xL22</t>
  </si>
  <si>
    <t>L.95</t>
  </si>
  <si>
    <t>L 95</t>
  </si>
  <si>
    <t>xL - 95</t>
  </si>
  <si>
    <t>xL23</t>
  </si>
  <si>
    <r>
      <t xml:space="preserve">… </t>
    </r>
    <r>
      <rPr>
        <sz val="8"/>
        <color indexed="12"/>
        <rFont val="Arial Narrow"/>
        <family val="2"/>
      </rPr>
      <t xml:space="preserve">  IDE linkelhető az Ön    </t>
    </r>
    <r>
      <rPr>
        <u val="single"/>
        <sz val="8"/>
        <color indexed="12"/>
        <rFont val="Arial Narrow"/>
        <family val="0"/>
      </rPr>
      <t xml:space="preserve">- Saját háza - … </t>
    </r>
  </si>
  <si>
    <r>
      <t xml:space="preserve">...  napi EURO / Forint   frissítése, </t>
    </r>
    <r>
      <rPr>
        <i/>
        <sz val="10"/>
        <rFont val="Arial Narrow"/>
        <family val="2"/>
      </rPr>
      <t xml:space="preserve">(úgy lesz valóságos)  </t>
    </r>
    <r>
      <rPr>
        <sz val="12"/>
        <rFont val="Arial Narrow"/>
        <family val="2"/>
      </rPr>
      <t xml:space="preserve">          &gt;&gt;&gt; </t>
    </r>
  </si>
  <si>
    <r>
      <t xml:space="preserve">Modell TYPE :    </t>
    </r>
    <r>
      <rPr>
        <b/>
        <sz val="11"/>
        <rFont val="Arial Narrow"/>
        <family val="2"/>
      </rPr>
      <t>S Domino</t>
    </r>
    <r>
      <rPr>
        <b/>
        <sz val="9"/>
        <rFont val="Arial Narrow"/>
        <family val="2"/>
      </rPr>
      <t xml:space="preserve">   </t>
    </r>
    <r>
      <rPr>
        <sz val="7"/>
        <rFont val="Arial Narrow"/>
        <family val="2"/>
      </rPr>
      <t xml:space="preserve"> modular   mobilhome</t>
    </r>
  </si>
  <si>
    <r>
      <t>S</t>
    </r>
    <r>
      <rPr>
        <b/>
        <u val="single"/>
        <sz val="9"/>
        <color indexed="12"/>
        <rFont val="Arial Narrow"/>
        <family val="2"/>
      </rPr>
      <t xml:space="preserve"> . Egytér-komfortok</t>
    </r>
  </si>
  <si>
    <r>
      <t>S</t>
    </r>
    <r>
      <rPr>
        <b/>
        <u val="single"/>
        <sz val="9"/>
        <color indexed="40"/>
        <rFont val="Arial Narrow"/>
        <family val="2"/>
      </rPr>
      <t xml:space="preserve"> . Egy-helyiség</t>
    </r>
  </si>
  <si>
    <r>
      <t>S-9.0</t>
    </r>
    <r>
      <rPr>
        <b/>
        <strike/>
        <sz val="8"/>
        <color indexed="10"/>
        <rFont val="Arial Narrow"/>
        <family val="2"/>
      </rPr>
      <t xml:space="preserve">              kifutó méret(!)</t>
    </r>
  </si>
  <si>
    <r>
      <t xml:space="preserve">Modell TYPE :    </t>
    </r>
    <r>
      <rPr>
        <b/>
        <sz val="11"/>
        <rFont val="Arial Narrow"/>
        <family val="2"/>
      </rPr>
      <t>M Domino</t>
    </r>
    <r>
      <rPr>
        <b/>
        <sz val="9"/>
        <rFont val="Arial Narrow"/>
        <family val="2"/>
      </rPr>
      <t xml:space="preserve">   </t>
    </r>
    <r>
      <rPr>
        <sz val="7"/>
        <rFont val="Arial Narrow"/>
        <family val="2"/>
      </rPr>
      <t xml:space="preserve"> modular   mobilhome</t>
    </r>
  </si>
  <si>
    <r>
      <t>M</t>
    </r>
    <r>
      <rPr>
        <b/>
        <sz val="9"/>
        <color indexed="55"/>
        <rFont val="Arial Narrow"/>
        <family val="2"/>
      </rPr>
      <t xml:space="preserve"> . Egy-helyiség</t>
    </r>
  </si>
  <si>
    <r>
      <t xml:space="preserve">Össz </t>
    </r>
    <r>
      <rPr>
        <b/>
        <sz val="8"/>
        <rFont val="Arial Narrow"/>
        <family val="2"/>
      </rPr>
      <t>M   DOMINÓ</t>
    </r>
    <r>
      <rPr>
        <sz val="8"/>
        <rFont val="Arial Narrow"/>
        <family val="2"/>
      </rPr>
      <t xml:space="preserve"> </t>
    </r>
    <r>
      <rPr>
        <b/>
        <sz val="8"/>
        <rFont val="Arial Narrow"/>
        <family val="2"/>
      </rPr>
      <t>mobilházak</t>
    </r>
  </si>
  <si>
    <r>
      <t xml:space="preserve">Modell TYPE :    </t>
    </r>
    <r>
      <rPr>
        <b/>
        <sz val="11"/>
        <rFont val="Arial Narrow"/>
        <family val="2"/>
      </rPr>
      <t>L Domino</t>
    </r>
    <r>
      <rPr>
        <b/>
        <sz val="9"/>
        <rFont val="Arial Narrow"/>
        <family val="2"/>
      </rPr>
      <t xml:space="preserve">   </t>
    </r>
    <r>
      <rPr>
        <sz val="7"/>
        <rFont val="Arial Narrow"/>
        <family val="2"/>
      </rPr>
      <t xml:space="preserve"> modular   mobilhome</t>
    </r>
  </si>
  <si>
    <r>
      <t>L</t>
    </r>
    <r>
      <rPr>
        <u val="single"/>
        <sz val="10"/>
        <color indexed="12"/>
        <rFont val="Arial Narrow"/>
        <family val="0"/>
      </rPr>
      <t xml:space="preserve"> </t>
    </r>
    <r>
      <rPr>
        <b/>
        <u val="single"/>
        <sz val="9"/>
        <color indexed="12"/>
        <rFont val="Arial Narrow"/>
        <family val="2"/>
      </rPr>
      <t>. Egytér-komfort</t>
    </r>
  </si>
  <si>
    <r>
      <t>L</t>
    </r>
    <r>
      <rPr>
        <b/>
        <sz val="9"/>
        <color indexed="55"/>
        <rFont val="Arial Narrow"/>
        <family val="2"/>
      </rPr>
      <t xml:space="preserve"> . Egy-helyiségek</t>
    </r>
  </si>
  <si>
    <r>
      <t xml:space="preserve">Össz </t>
    </r>
    <r>
      <rPr>
        <b/>
        <sz val="8"/>
        <rFont val="Arial Narrow"/>
        <family val="2"/>
      </rPr>
      <t>L   DOMINÓ</t>
    </r>
    <r>
      <rPr>
        <sz val="8"/>
        <rFont val="Arial Narrow"/>
        <family val="2"/>
      </rPr>
      <t xml:space="preserve"> </t>
    </r>
    <r>
      <rPr>
        <b/>
        <sz val="8"/>
        <rFont val="Arial Narrow"/>
        <family val="2"/>
      </rPr>
      <t>mobilházak</t>
    </r>
  </si>
  <si>
    <r>
      <t>Modell TYPE :    x</t>
    </r>
    <r>
      <rPr>
        <b/>
        <sz val="11"/>
        <rFont val="Arial Narrow"/>
        <family val="2"/>
      </rPr>
      <t>L Domino</t>
    </r>
    <r>
      <rPr>
        <b/>
        <sz val="9"/>
        <rFont val="Arial Narrow"/>
        <family val="2"/>
      </rPr>
      <t xml:space="preserve">   </t>
    </r>
    <r>
      <rPr>
        <sz val="7"/>
        <rFont val="Arial Narrow"/>
        <family val="2"/>
      </rPr>
      <t xml:space="preserve"> modular   mobilhome</t>
    </r>
  </si>
  <si>
    <r>
      <t>xL</t>
    </r>
    <r>
      <rPr>
        <b/>
        <u val="single"/>
        <sz val="9"/>
        <color indexed="12"/>
        <rFont val="Arial Narrow"/>
        <family val="2"/>
      </rPr>
      <t xml:space="preserve"> - Egytér-komfort</t>
    </r>
  </si>
  <si>
    <r>
      <t>xL</t>
    </r>
    <r>
      <rPr>
        <b/>
        <sz val="9"/>
        <color indexed="55"/>
        <rFont val="Arial Narrow"/>
        <family val="2"/>
      </rPr>
      <t xml:space="preserve"> - Egy-helyiségek</t>
    </r>
  </si>
  <si>
    <r>
      <t>Össz x</t>
    </r>
    <r>
      <rPr>
        <b/>
        <sz val="8"/>
        <rFont val="Arial Narrow"/>
        <family val="2"/>
      </rPr>
      <t>L   DOMINÓ</t>
    </r>
    <r>
      <rPr>
        <sz val="8"/>
        <rFont val="Arial Narrow"/>
        <family val="2"/>
      </rPr>
      <t xml:space="preserve"> </t>
    </r>
    <r>
      <rPr>
        <b/>
        <sz val="8"/>
        <rFont val="Arial Narrow"/>
        <family val="2"/>
      </rPr>
      <t>mobilházak</t>
    </r>
  </si>
  <si>
    <r>
      <t xml:space="preserve">Modell TYPE :   </t>
    </r>
    <r>
      <rPr>
        <sz val="8"/>
        <rFont val="Arial Narrow"/>
        <family val="2"/>
      </rPr>
      <t xml:space="preserve"> </t>
    </r>
    <r>
      <rPr>
        <b/>
        <sz val="8"/>
        <rFont val="Arial Narrow"/>
        <family val="2"/>
      </rPr>
      <t xml:space="preserve">1-9 KAPCSOLÓ / BŐVÍTŐ                             </t>
    </r>
    <r>
      <rPr>
        <sz val="8"/>
        <rFont val="Arial Narrow"/>
        <family val="2"/>
      </rPr>
      <t xml:space="preserve">  Module  interface expansion</t>
    </r>
  </si>
  <si>
    <r>
      <t>Ds 1… 9 végfal záró</t>
    </r>
    <r>
      <rPr>
        <sz val="8"/>
        <color indexed="12"/>
        <rFont val="Arial Narrow"/>
        <family val="2"/>
      </rPr>
      <t xml:space="preserve"> (mindig 2 db  kell (!)</t>
    </r>
  </si>
  <si>
    <r>
      <t>NS1… 9 végfalak</t>
    </r>
    <r>
      <rPr>
        <sz val="8"/>
        <color indexed="12"/>
        <rFont val="Arial Narrow"/>
        <family val="2"/>
      </rPr>
      <t xml:space="preserve"> (mindig 2 db-ot kell (!)</t>
    </r>
  </si>
  <si>
    <r>
      <t xml:space="preserve">Kis </t>
    </r>
    <r>
      <rPr>
        <i/>
        <sz val="8"/>
        <color indexed="21"/>
        <rFont val="Arial Narrow"/>
        <family val="2"/>
      </rPr>
      <t xml:space="preserve"> Nagy</t>
    </r>
  </si>
  <si>
    <r>
      <t>SS1… 9 végfalak</t>
    </r>
    <r>
      <rPr>
        <sz val="8"/>
        <color indexed="12"/>
        <rFont val="Arial Narrow"/>
        <family val="2"/>
      </rPr>
      <t xml:space="preserve"> (mindig 2 db-ot kell (!)</t>
    </r>
  </si>
  <si>
    <r>
      <t>Közép</t>
    </r>
    <r>
      <rPr>
        <i/>
        <sz val="8"/>
        <color indexed="12"/>
        <rFont val="Arial Narrow"/>
        <family val="2"/>
      </rPr>
      <t xml:space="preserve"> Nagy</t>
    </r>
  </si>
  <si>
    <r>
      <t>Extra</t>
    </r>
    <r>
      <rPr>
        <sz val="8"/>
        <color indexed="53"/>
        <rFont val="Arial Narrow"/>
        <family val="2"/>
      </rPr>
      <t xml:space="preserve"> </t>
    </r>
    <r>
      <rPr>
        <i/>
        <sz val="8"/>
        <color indexed="53"/>
        <rFont val="Arial Narrow"/>
        <family val="2"/>
      </rPr>
      <t xml:space="preserve"> Nagy</t>
    </r>
  </si>
  <si>
    <r>
      <t>Super</t>
    </r>
    <r>
      <rPr>
        <i/>
        <sz val="8"/>
        <color indexed="14"/>
        <rFont val="Arial Narrow"/>
        <family val="2"/>
      </rPr>
      <t xml:space="preserve"> Nagy</t>
    </r>
  </si>
  <si>
    <r>
      <t xml:space="preserve">Modell TYPE :    </t>
    </r>
    <r>
      <rPr>
        <b/>
        <sz val="11"/>
        <color indexed="9"/>
        <rFont val="Arial Narrow"/>
        <family val="2"/>
      </rPr>
      <t>cotage</t>
    </r>
    <r>
      <rPr>
        <b/>
        <sz val="8"/>
        <color indexed="9"/>
        <rFont val="Arial Narrow"/>
        <family val="2"/>
      </rPr>
      <t xml:space="preserve">    1-9</t>
    </r>
    <r>
      <rPr>
        <sz val="8"/>
        <color indexed="9"/>
        <rFont val="Arial Narrow"/>
        <family val="2"/>
      </rPr>
      <t xml:space="preserve">                                           modular   mobilhome interface</t>
    </r>
  </si>
  <si>
    <r>
      <t>EN.1</t>
    </r>
    <r>
      <rPr>
        <sz val="8"/>
        <color indexed="9"/>
        <rFont val="Arial Narrow"/>
        <family val="2"/>
      </rPr>
      <t xml:space="preserve"> elősz. modul</t>
    </r>
  </si>
  <si>
    <r>
      <t>En.fv elő</t>
    </r>
    <r>
      <rPr>
        <sz val="8"/>
        <color indexed="9"/>
        <rFont val="Arial Narrow"/>
        <family val="2"/>
      </rPr>
      <t xml:space="preserve"> vég-záró falak  (szükséglet 1+1)</t>
    </r>
  </si>
  <si>
    <r>
      <t>En.tető</t>
    </r>
    <r>
      <rPr>
        <sz val="8"/>
        <color indexed="9"/>
        <rFont val="Arial Narrow"/>
        <family val="2"/>
      </rPr>
      <t xml:space="preserve"> (előtető lépcső pihenő etc. fölé)</t>
    </r>
  </si>
  <si>
    <r>
      <t xml:space="preserve">Össz Külső </t>
    </r>
    <r>
      <rPr>
        <b/>
        <sz val="8"/>
        <color indexed="9"/>
        <rFont val="Arial Narrow"/>
        <family val="2"/>
      </rPr>
      <t>"Előszoba</t>
    </r>
    <r>
      <rPr>
        <sz val="8"/>
        <color indexed="9"/>
        <rFont val="Arial Narrow"/>
        <family val="2"/>
      </rPr>
      <t xml:space="preserve"> </t>
    </r>
    <r>
      <rPr>
        <b/>
        <sz val="8"/>
        <color indexed="9"/>
        <rFont val="Arial Narrow"/>
        <family val="2"/>
      </rPr>
      <t>modul"</t>
    </r>
  </si>
  <si>
    <r>
      <t>Válaszfal méretek</t>
    </r>
    <r>
      <rPr>
        <b/>
        <sz val="8"/>
        <rFont val="Arial Narrow"/>
        <family val="2"/>
      </rPr>
      <t xml:space="preserve"> </t>
    </r>
    <r>
      <rPr>
        <sz val="8"/>
        <rFont val="Arial Narrow"/>
        <family val="2"/>
      </rPr>
      <t>(méterben):</t>
    </r>
    <r>
      <rPr>
        <sz val="7.5"/>
        <rFont val="Arial Narrow"/>
        <family val="2"/>
      </rPr>
      <t xml:space="preserve">                                                                                                                     MÉRET leolvasható a terv kottákról.                                                      &gt;&gt;&gt; Teljes hossz KEL</t>
    </r>
  </si>
  <si>
    <r>
      <t xml:space="preserve">Válaszfalak: </t>
    </r>
    <r>
      <rPr>
        <sz val="6"/>
        <color indexed="22"/>
        <rFont val="Arial Narrow"/>
        <family val="2"/>
      </rPr>
      <t>egyszerű keresztosztás faltól falig méret(!)</t>
    </r>
  </si>
  <si>
    <r>
      <t xml:space="preserve">Növelt falvastagság-, erőteljesebb szigetelés-, hangszig. &gt; DD gipszkart.-, stb.                            - Lássd  </t>
    </r>
    <r>
      <rPr>
        <sz val="8"/>
        <color indexed="12"/>
        <rFont val="Arial Narrow"/>
        <family val="2"/>
      </rPr>
      <t>altalanos.felszereltseg.html</t>
    </r>
  </si>
  <si>
    <r>
      <t>Opció        (</t>
    </r>
    <r>
      <rPr>
        <b/>
        <sz val="12"/>
        <color indexed="12"/>
        <rFont val="Arial Narrow"/>
        <family val="2"/>
      </rPr>
      <t>normál fal + 5cm</t>
    </r>
    <r>
      <rPr>
        <sz val="8"/>
        <color indexed="12"/>
        <rFont val="Arial Narrow"/>
        <family val="2"/>
      </rPr>
      <t xml:space="preserve"> növelt belső hőszig. réteg különb. opc.)</t>
    </r>
  </si>
  <si>
    <r>
      <t>extra-MAGAS változat</t>
    </r>
    <r>
      <rPr>
        <sz val="6"/>
        <color indexed="22"/>
        <rFont val="Arial Narrow"/>
        <family val="2"/>
      </rPr>
      <t xml:space="preserve"> (az extramagas kalkulációs lap szerint(!) </t>
    </r>
  </si>
  <si>
    <r>
      <t>ÖSSZES</t>
    </r>
    <r>
      <rPr>
        <u val="single"/>
        <sz val="7"/>
        <rFont val="Arial Narrow"/>
        <family val="2"/>
      </rPr>
      <t xml:space="preserve">  </t>
    </r>
    <r>
      <rPr>
        <b/>
        <u val="single"/>
        <sz val="7"/>
        <rFont val="Arial Narrow"/>
        <family val="2"/>
      </rPr>
      <t>tétel</t>
    </r>
    <r>
      <rPr>
        <sz val="7"/>
        <rFont val="Arial Narrow"/>
        <family val="2"/>
      </rPr>
      <t xml:space="preserve">  </t>
    </r>
    <r>
      <rPr>
        <i/>
        <sz val="7"/>
        <rFont val="Arial Narrow"/>
        <family val="2"/>
      </rPr>
      <t xml:space="preserve"> (statisztikai   ellenőrző   mező):</t>
    </r>
  </si>
  <si>
    <r>
      <t xml:space="preserve">a fenti igénye alapján kialakuló átlagos mai napi  négyzetméterár </t>
    </r>
    <r>
      <rPr>
        <sz val="10"/>
        <rFont val="Arial Narrow"/>
        <family val="2"/>
      </rPr>
      <t>[Ft/m2]</t>
    </r>
    <r>
      <rPr>
        <b/>
        <sz val="12"/>
        <rFont val="Arial Narrow"/>
        <family val="2"/>
      </rPr>
      <t xml:space="preserve"> Forintban   &gt;</t>
    </r>
  </si>
  <si>
    <r>
      <t>Le  szükségtelen főfalak, a párhuzamos/soros csatlakozásoknál</t>
    </r>
    <r>
      <rPr>
        <sz val="8"/>
        <rFont val="Arial Narrow"/>
        <family val="2"/>
      </rPr>
      <t xml:space="preserve"> ( kapcsoló/bővítő (soroló)-, angolablak-, elősz.-, stb.)</t>
    </r>
  </si>
  <si>
    <t>Le főfalak1 &gt; kapcs.bőv. egyik oldali falelem feleslegek</t>
  </si>
  <si>
    <t>Le főfalak2 &gt; kapcs.bőv. egyik oldali falelem feleslegek</t>
  </si>
  <si>
    <t>dominó &gt;</t>
  </si>
  <si>
    <t>ews agol ablak  &gt;</t>
  </si>
  <si>
    <r>
      <t xml:space="preserve">K/Bőv. </t>
    </r>
    <r>
      <rPr>
        <sz val="7.5"/>
        <rFont val="Arial"/>
        <family val="2"/>
      </rPr>
      <t>záró/középfal &gt;</t>
    </r>
  </si>
  <si>
    <t xml:space="preserve">   Darab ˘ mennyi?</t>
  </si>
  <si>
    <t>A rövid átfutási idő értelemszerűen azt is jelenti, hogy a megrendelőnek a megrendelés pillanatában a teljes vételárral rendelkeznie kell(!).</t>
  </si>
  <si>
    <t xml:space="preserve">II.        A konkrét határidővel, részletes tételekkel és árral rendelkező visszaigazolás kézhezvételét követően 3 munkanapon belül kell a további összegből az </t>
  </si>
  <si>
    <t>A mobilház összeállítás gyártása általában 2-5 hét a megrendelt mennyiségtől és a megrendelő által diktált 'gazdag' felszereltségtől függően.</t>
  </si>
  <si>
    <t>)</t>
  </si>
  <si>
    <t>bruttó m2 helyfoglalási-tárolási díjra is kötelezett.</t>
  </si>
  <si>
    <t xml:space="preserve"> A napforduló minden naptári nap du. 3 óra. </t>
  </si>
  <si>
    <t xml:space="preserve">Úgy a Társaság képviselője, mint a jelen megrendelő kijelenti, hogy törekedni fog a súrlódás és vita mentes átadás átvétel a teljesítések körül esetlegesen felmerülő problémák, nézeteltérések egymás közötti rendezésére, megoldására. </t>
  </si>
  <si>
    <t>Amennyiben mégis vitás kérdés keletkezne, a Pest megye MONORI Bíróság illetékességét jelölik ki, mint a vita tárgyát képező ügyben eljáró Bíróságot(!).</t>
  </si>
  <si>
    <t>Jelen megrendelőlapot,    --- amely a köztünk létrejött megállapodás elválaszthatatlan része ---, 1 példányt eredeti Excel fájlban, e-mailben kérünk elküldeni, hogy számítógépeinkben kezelhető legyen, további 3 azaz három példányban pedig kérjük kinyomtatva, aláírva "kézben" vagy postai úton címünkre eljuttatni.</t>
  </si>
  <si>
    <t xml:space="preserve">Ebből egy általunk is aláírt példányt a 4.pontban taglalt visszaigazolással (határidők-, tételes részletek-, pontosítások stb.) együtt postázzuk vissza Önnek. </t>
  </si>
  <si>
    <t xml:space="preserve">Annak megítélése , hogy a min. 3-5 nap elegendő e,  a Társaság kizárólagos hatásköre. Erről a határidő eltolásról  a  Társaság értesítést küld. </t>
  </si>
  <si>
    <t>....</t>
  </si>
  <si>
    <t>ALULÍROTT megrendelem az általam kigyűjtött mobilház egységek és kiegészítő elemeit (részletek a calc munkalapon).  A jelen oldalak  akkor lesz megrendelés</t>
  </si>
  <si>
    <t xml:space="preserve"> és megállapodás,  ha azt a fenti Társaságnak aláírásommal ellátva 3 példányban elpostáztam, a Társaság visszaigazolta,  a visszaigazolásban foglaltakat  a </t>
  </si>
  <si>
    <t>befizetéseim tejesítésével elfogadtam, a teljesítéseket  a Társaság  befogadta, visszaigazolta.</t>
  </si>
  <si>
    <r>
      <t xml:space="preserve">   Eltérő megoldás felár: + - [%] faktor </t>
    </r>
    <r>
      <rPr>
        <i/>
        <sz val="7.5"/>
        <rFont val="Arial Narrow"/>
        <family val="2"/>
      </rPr>
      <t>( - belső részleges vagy teljes berendezés - )</t>
    </r>
  </si>
  <si>
    <r>
      <t xml:space="preserve">   Rendszer idegen elrendezés</t>
    </r>
    <r>
      <rPr>
        <sz val="7.5"/>
        <rFont val="Arial Narrow"/>
        <family val="2"/>
      </rPr>
      <t xml:space="preserve"> </t>
    </r>
    <r>
      <rPr>
        <i/>
        <sz val="7.5"/>
        <rFont val="Arial Narrow"/>
        <family val="2"/>
      </rPr>
      <t xml:space="preserve"> ( - integrált  közl.-fürdő-konyha   modul - )</t>
    </r>
    <r>
      <rPr>
        <i/>
        <sz val="7"/>
        <rFont val="Arial Narrow"/>
        <family val="2"/>
      </rPr>
      <t xml:space="preserve">  </t>
    </r>
    <r>
      <rPr>
        <sz val="8"/>
        <rFont val="Arial Narrow"/>
        <family val="2"/>
      </rPr>
      <t xml:space="preserve">felár: + - [%] </t>
    </r>
  </si>
  <si>
    <r>
      <t xml:space="preserve">   Közös megállapodás: + - [%] faktor</t>
    </r>
    <r>
      <rPr>
        <i/>
        <sz val="7.5"/>
        <rFont val="Arial Narrow"/>
        <family val="2"/>
      </rPr>
      <t xml:space="preserve"> (egyéb kívánságok)</t>
    </r>
  </si>
  <si>
    <t>Igen megköszönték, tetszet nekik, az árat elfogadták.</t>
  </si>
  <si>
    <t xml:space="preserve">Néhány nap múlva vissza küldtek egy másikat azzal, hogy majdnem azonos a m2, igaz a külméretek és elemek és még néhány dolog más, de közel 700 000-rel kevesebb. </t>
  </si>
  <si>
    <t>&lt;&lt;&lt; opc. kezdet</t>
  </si>
  <si>
    <t>S   [Ft]</t>
  </si>
  <si>
    <t>S Euro</t>
  </si>
  <si>
    <t>S   Euro</t>
  </si>
  <si>
    <t>S   kg</t>
  </si>
  <si>
    <t>Sfk.1... -9   KÖZTI fal: NORMÁL (2,80m magasság) sorolók egymáshoz illesztő fala és szerelvénye   ---  minden méretű sorolókhoz alkalmazható ---</t>
  </si>
  <si>
    <t>Sf.1... -9   ZÁRÓ fal: Fél-sorolás NORMÁL (2,80m magasság) soroló lezáró vég-fala és szerelvénye      ---  minden méretű sorolókhoz alkalmazható ---</t>
  </si>
  <si>
    <t>Előszoba modul                (+ Kamra v. Gardrob)</t>
  </si>
  <si>
    <t>Családi-, üzleti sorolt, csoportos kialakítások, helyiség osztások miatti többletek (ajtók, ablakok, válaszfal), gépészet (lámpahelyek, dugaljak fűtések)</t>
  </si>
  <si>
    <t>Ebédlő 6... -8 személyes</t>
  </si>
  <si>
    <t>Honlapról, munkalapról  áthozható itt nem szereplő tételek,  árak, súlykg,  pl. 'Praktikus kiegészítők' egyes tételei (zöld mező a beviteli cella !)...</t>
  </si>
  <si>
    <t>Le főfalak3 &gt;      Angol ablak miatti falelem feleslegek</t>
  </si>
  <si>
    <t>Le főfalak4 &gt;      Előszoba miatti falelem feleslegek</t>
  </si>
  <si>
    <t>Le össz főfal többlet</t>
  </si>
  <si>
    <t>[ A + B + C + D + E + F + G + H + I + J + L + M + N ]             Árkedvezmény vetítési alap (m2 kedv.):</t>
  </si>
  <si>
    <t>CÉG név:</t>
  </si>
  <si>
    <t>&lt; Bevitel db ?...</t>
  </si>
  <si>
    <r>
      <t>S</t>
    </r>
    <r>
      <rPr>
        <sz val="7"/>
        <rFont val="Arial Narrow"/>
        <family val="2"/>
      </rPr>
      <t xml:space="preserve">   Euro</t>
    </r>
  </si>
  <si>
    <t>AREA                  [ m2]</t>
  </si>
  <si>
    <r>
      <t>G25-45.60</t>
    </r>
    <r>
      <rPr>
        <sz val="8"/>
        <rFont val="Arial Narrow"/>
        <family val="2"/>
      </rPr>
      <t xml:space="preserve"> iker + kamrák</t>
    </r>
  </si>
  <si>
    <r>
      <t>G25-90.120</t>
    </r>
    <r>
      <rPr>
        <sz val="8"/>
        <rFont val="Arial Narrow"/>
        <family val="2"/>
      </rPr>
      <t xml:space="preserve"> dupla (tandem)</t>
    </r>
  </si>
  <si>
    <t>&gt;&gt;&gt;</t>
  </si>
  <si>
    <t>…www. &gt; honlap1</t>
  </si>
  <si>
    <t>...www. &gt; honlap2</t>
  </si>
  <si>
    <r>
      <t xml:space="preserve">Ahány az összeállítás annyi a lehetőség, az igény az eltérés és módosítás és annyi az ár is.   Erre is nagyon IGAZ, </t>
    </r>
    <r>
      <rPr>
        <b/>
        <sz val="11"/>
        <rFont val="Arial Narrow"/>
        <family val="2"/>
      </rPr>
      <t>"az ördög a részletekben"</t>
    </r>
    <r>
      <rPr>
        <sz val="11"/>
        <rFont val="Arial Narrow"/>
        <family val="2"/>
      </rPr>
      <t>(!).</t>
    </r>
  </si>
  <si>
    <t>-a</t>
  </si>
  <si>
    <r>
      <t>Közép Nagy</t>
    </r>
    <r>
      <rPr>
        <sz val="8"/>
        <rFont val="Arial Narrow"/>
        <family val="2"/>
      </rPr>
      <t xml:space="preserve"> sorolók  Ár2 árak</t>
    </r>
  </si>
  <si>
    <t>HIGH</t>
  </si>
  <si>
    <t>alap  garazsok</t>
  </si>
  <si>
    <r>
      <t xml:space="preserve">Kedvezménnyel korrigált    ár    </t>
    </r>
    <r>
      <rPr>
        <b/>
        <sz val="8"/>
        <rFont val="Arial Narrow"/>
        <family val="2"/>
      </rPr>
      <t>ÖSSZESEN:</t>
    </r>
  </si>
  <si>
    <r>
      <t>Össz</t>
    </r>
    <r>
      <rPr>
        <sz val="8"/>
        <rFont val="Arial Narrow"/>
        <family val="2"/>
      </rPr>
      <t xml:space="preserve"> korrekciós falak+kedv., levon.:</t>
    </r>
  </si>
  <si>
    <r>
      <t>Össz választott kiegészítők</t>
    </r>
    <r>
      <rPr>
        <sz val="8"/>
        <rFont val="Arial Narrow"/>
        <family val="2"/>
      </rPr>
      <t>, egyéb tételek</t>
    </r>
  </si>
  <si>
    <r>
      <t xml:space="preserve">Külső és belső </t>
    </r>
    <r>
      <rPr>
        <b/>
        <sz val="8"/>
        <rFont val="Arial Narrow"/>
        <family val="2"/>
      </rPr>
      <t>AJTÓK</t>
    </r>
  </si>
  <si>
    <r>
      <t>Össz Angol ablak</t>
    </r>
    <r>
      <rPr>
        <sz val="8"/>
        <rFont val="Arial Narrow"/>
        <family val="2"/>
      </rPr>
      <t xml:space="preserve"> (English Windows)</t>
    </r>
  </si>
  <si>
    <r>
      <t>Össz Záró és Közép falak</t>
    </r>
    <r>
      <rPr>
        <sz val="8"/>
        <rFont val="Arial Narrow"/>
        <family val="2"/>
      </rPr>
      <t xml:space="preserve">  (Fél-sorolás, tovább sorolás &gt; az Illesztő Bővítő modul, Sorolók záró eleme)</t>
    </r>
  </si>
  <si>
    <r>
      <t>Össz Bővítő modul</t>
    </r>
    <r>
      <rPr>
        <sz val="8"/>
        <rFont val="Arial Narrow"/>
        <family val="2"/>
      </rPr>
      <t xml:space="preserve"> (Sorolók)</t>
    </r>
  </si>
  <si>
    <r>
      <t>Modell TYPE :</t>
    </r>
    <r>
      <rPr>
        <sz val="8"/>
        <rFont val="Arial Narrow"/>
        <family val="2"/>
      </rPr>
      <t xml:space="preserve">    module   mobil   </t>
    </r>
    <r>
      <rPr>
        <b/>
        <sz val="8"/>
        <rFont val="Arial Narrow"/>
        <family val="2"/>
      </rPr>
      <t>Garage</t>
    </r>
  </si>
  <si>
    <r>
      <t>Modell TYPE :</t>
    </r>
    <r>
      <rPr>
        <sz val="8"/>
        <rFont val="Arial Narrow"/>
        <family val="2"/>
      </rPr>
      <t xml:space="preserve">     </t>
    </r>
    <r>
      <rPr>
        <b/>
        <sz val="8"/>
        <rFont val="Arial Narrow"/>
        <family val="2"/>
      </rPr>
      <t>Stabil   'Egy - terűek'</t>
    </r>
  </si>
  <si>
    <r>
      <t>Modell TYPE :</t>
    </r>
    <r>
      <rPr>
        <sz val="8"/>
        <rFont val="Arial Narrow"/>
        <family val="2"/>
      </rPr>
      <t xml:space="preserve">     stabil   </t>
    </r>
    <r>
      <rPr>
        <b/>
        <sz val="8"/>
        <rFont val="Arial Narrow"/>
        <family val="2"/>
      </rPr>
      <t>Tárolók,</t>
    </r>
    <r>
      <rPr>
        <sz val="8"/>
        <rFont val="Arial Narrow"/>
        <family val="2"/>
      </rPr>
      <t xml:space="preserve">   </t>
    </r>
    <r>
      <rPr>
        <b/>
        <sz val="8"/>
        <rFont val="Arial Narrow"/>
        <family val="2"/>
      </rPr>
      <t>Kamrák</t>
    </r>
  </si>
  <si>
    <t xml:space="preserve">képek, alaprajzok       </t>
  </si>
  <si>
    <t xml:space="preserve">Árak 1…- 2               </t>
  </si>
  <si>
    <t>AREA        [ m2]</t>
  </si>
  <si>
    <t>kamra + garage</t>
  </si>
  <si>
    <t>Amennyiben a megrendelő a   visszaigazolt megrendelését a további befizetések előtt visszavonja / lemondja az a foglaló elvesztését jelenti, ill. ha a Társaság mondja fel ebben a szakaszban, akkor a foglaló kétszeresét kell teljesítenie a megrendelője felé.</t>
  </si>
  <si>
    <t>(Öko Bautechnik Kft.  részéről)</t>
  </si>
  <si>
    <t xml:space="preserve">A megrendelő átvételi-, elszállítási határidő csúszása ugyanez, azaz naponta a megrendelőt terhelő kötbér mértéke a napi jegybanki alapkamatból </t>
  </si>
  <si>
    <t xml:space="preserve">Befizethető bankban, postán és a társaság pénztárába személyesen. </t>
  </si>
  <si>
    <t xml:space="preserve">A társasághoz küldött jelen megrendelőlap és az ITT szereplő megrendelés </t>
  </si>
  <si>
    <t>+</t>
  </si>
  <si>
    <t xml:space="preserve">Ez a három munkanap áll rendelkezésére a Megrendelőnek, hogy az esedékes </t>
  </si>
  <si>
    <t xml:space="preserve">vételárat banki vagy más úton rendezze. </t>
  </si>
  <si>
    <t>számított összeg és további</t>
  </si>
  <si>
    <t>/ m2</t>
  </si>
  <si>
    <t xml:space="preserve"> / nap</t>
  </si>
  <si>
    <r>
      <t>G25-45.60-0</t>
    </r>
    <r>
      <rPr>
        <sz val="8"/>
        <rFont val="Arial Narrow"/>
        <family val="2"/>
      </rPr>
      <t xml:space="preserve"> szóló</t>
    </r>
  </si>
  <si>
    <r>
      <t>G25-45.60-0</t>
    </r>
    <r>
      <rPr>
        <sz val="8"/>
        <rFont val="Arial Narrow"/>
        <family val="2"/>
      </rPr>
      <t xml:space="preserve"> iker</t>
    </r>
  </si>
  <si>
    <r>
      <t>G50-45.60-0</t>
    </r>
    <r>
      <rPr>
        <sz val="8"/>
        <rFont val="Arial Narrow"/>
        <family val="2"/>
      </rPr>
      <t xml:space="preserve"> dupla</t>
    </r>
  </si>
  <si>
    <r>
      <t>G25-45.60</t>
    </r>
    <r>
      <rPr>
        <sz val="8"/>
        <rFont val="Arial Narrow"/>
        <family val="2"/>
      </rPr>
      <t xml:space="preserve"> szóló+kamra</t>
    </r>
  </si>
  <si>
    <t>17.</t>
  </si>
  <si>
    <t>Tel: +36 30 275 2235</t>
  </si>
  <si>
    <t>2230.Gyömrő. Kőhatár. Külterület</t>
  </si>
  <si>
    <t>Web:</t>
  </si>
  <si>
    <t>E-mail:</t>
  </si>
  <si>
    <t>bautechnik@eurocomnet.hu</t>
  </si>
  <si>
    <t>Skype:</t>
  </si>
  <si>
    <t>callto:fransis69</t>
  </si>
  <si>
    <t>Első lépés</t>
  </si>
  <si>
    <t>=</t>
  </si>
  <si>
    <t>1.</t>
  </si>
  <si>
    <t>2.</t>
  </si>
  <si>
    <t>Ft / Euró ? &gt; Raiffeisen</t>
  </si>
  <si>
    <t>&lt;</t>
  </si>
  <si>
    <t>&lt; Ft / Eur</t>
  </si>
  <si>
    <t>Tömeg (súly kg)</t>
  </si>
  <si>
    <t>Bevit kezdet</t>
  </si>
  <si>
    <t>WIDE</t>
  </si>
  <si>
    <t>Modul</t>
  </si>
  <si>
    <t>DEEP</t>
  </si>
  <si>
    <t>&lt;&lt;&lt; Bevitel db ?...</t>
  </si>
  <si>
    <t>Össz</t>
  </si>
  <si>
    <t>€</t>
  </si>
  <si>
    <t>Tömeg</t>
  </si>
  <si>
    <t>hossz</t>
  </si>
  <si>
    <t>Totál hely</t>
  </si>
  <si>
    <t>m2</t>
  </si>
  <si>
    <t>Netto</t>
  </si>
  <si>
    <t>Brutto</t>
  </si>
  <si>
    <t>netto</t>
  </si>
  <si>
    <t>brutto</t>
  </si>
  <si>
    <t>kg</t>
  </si>
  <si>
    <t>m</t>
  </si>
  <si>
    <t>db</t>
  </si>
  <si>
    <t>Ft</t>
  </si>
  <si>
    <t>A</t>
  </si>
  <si>
    <t>&lt; képek (katt)</t>
  </si>
  <si>
    <t>Nett</t>
  </si>
  <si>
    <t>Bruttó</t>
  </si>
  <si>
    <t>nett</t>
  </si>
  <si>
    <t>bruttó</t>
  </si>
  <si>
    <t>B</t>
  </si>
  <si>
    <t>Netto [Eur/db]</t>
  </si>
  <si>
    <t>Brutto [Eur/db]</t>
  </si>
  <si>
    <t>C</t>
  </si>
  <si>
    <t>D</t>
  </si>
  <si>
    <t>E</t>
  </si>
  <si>
    <t>Sf.1</t>
  </si>
  <si>
    <t>Sf.2</t>
  </si>
  <si>
    <t>Sf.3</t>
  </si>
  <si>
    <t>Sf.4</t>
  </si>
  <si>
    <t>Sf.5</t>
  </si>
  <si>
    <t>Sf.6</t>
  </si>
  <si>
    <t>Sf.7</t>
  </si>
  <si>
    <t>Sf.8</t>
  </si>
  <si>
    <t>Sf.9</t>
  </si>
  <si>
    <t>E.2</t>
  </si>
  <si>
    <t>tömör</t>
  </si>
  <si>
    <t>ablakos</t>
  </si>
  <si>
    <t>egyedi</t>
  </si>
  <si>
    <t>EW2</t>
  </si>
  <si>
    <t>EW3</t>
  </si>
  <si>
    <t>F</t>
  </si>
  <si>
    <t>mély</t>
  </si>
  <si>
    <t>széles</t>
  </si>
  <si>
    <t>Kam. / Gard.</t>
  </si>
  <si>
    <t>&gt;</t>
  </si>
  <si>
    <t>szett</t>
  </si>
  <si>
    <t>G</t>
  </si>
  <si>
    <t>Felárak 1. Össz.</t>
  </si>
  <si>
    <t>_</t>
  </si>
  <si>
    <t>cm</t>
  </si>
  <si>
    <t>További behozható garázs árak, típusok</t>
  </si>
  <si>
    <t>[&lt; írható mező és ár &gt;</t>
  </si>
  <si>
    <t>H</t>
  </si>
  <si>
    <t>Össz  Garage</t>
  </si>
  <si>
    <t>K 15.21-1</t>
  </si>
  <si>
    <t>K 15.21-2</t>
  </si>
  <si>
    <t>K 15.21-3</t>
  </si>
  <si>
    <t>K 15.21-4</t>
  </si>
  <si>
    <t>K 15.21-5</t>
  </si>
  <si>
    <t>K 15.21-6</t>
  </si>
  <si>
    <t>K 15.21-7</t>
  </si>
  <si>
    <t>K 15.21-8</t>
  </si>
  <si>
    <t>I</t>
  </si>
  <si>
    <t>Össz  kamrák, kerékpár tárolók stb...</t>
  </si>
  <si>
    <t>A25 45.60-0</t>
  </si>
  <si>
    <t>A25 45.60-1</t>
  </si>
  <si>
    <t>m1</t>
  </si>
  <si>
    <t>A25 45.60-2</t>
  </si>
  <si>
    <t>A25 45.60-3</t>
  </si>
  <si>
    <t>A25 45.60-4</t>
  </si>
  <si>
    <t>A25 45.60-5</t>
  </si>
  <si>
    <t>A25 45.60-6</t>
  </si>
  <si>
    <t>A25 45.60-7</t>
  </si>
  <si>
    <t>Össz  'Stabil' Egy-Terűek</t>
  </si>
  <si>
    <t>J</t>
  </si>
  <si>
    <t>( I + J ) Stabilok Összesen (Tárolók (kamra, kerékpár tároló) + Egy-terűek)</t>
  </si>
  <si>
    <t>K</t>
  </si>
  <si>
    <t>Tétel</t>
  </si>
  <si>
    <t>megnev.</t>
  </si>
  <si>
    <t>[m2]</t>
  </si>
  <si>
    <t>&lt;&lt;&lt;  Belső válaszfalak  &gt;&gt;&gt;</t>
  </si>
  <si>
    <t>3.</t>
  </si>
  <si>
    <t>4.</t>
  </si>
  <si>
    <t>5.</t>
  </si>
  <si>
    <t>&lt;&lt;&lt;  AJTÓK  &gt;&gt;&gt;</t>
  </si>
  <si>
    <t>6.</t>
  </si>
  <si>
    <t>AJTÓK (bejárati) többlet  (külön igény)</t>
  </si>
  <si>
    <t>7.</t>
  </si>
  <si>
    <t>AJTÓK (belső) többlet  (szobák sokszorozása)</t>
  </si>
  <si>
    <t>m3</t>
  </si>
  <si>
    <t>Ablakok</t>
  </si>
  <si>
    <t>Ablakos fal (különb. opc.)           60/60... 90 ablak</t>
  </si>
  <si>
    <t>Ablakos fal (különb. opc.)            60/90... 120 ablak</t>
  </si>
  <si>
    <t>Ablakos fal (különb. opc.)           60/120 ablak</t>
  </si>
  <si>
    <t>Ablakos fal (különb. opc.)           90/60 ablak</t>
  </si>
  <si>
    <t>Ablakos fal (különb. opc.)           90/90 ablak</t>
  </si>
  <si>
    <t>Ablakos fal (különb. opc.)           90/120 ablak</t>
  </si>
  <si>
    <t>Ablakos fal (különb. opc.)           120/60 ablak</t>
  </si>
  <si>
    <t>8.</t>
  </si>
  <si>
    <t>Ablakos fal (különb. opc.)           120/90 ablak</t>
  </si>
  <si>
    <t>9.</t>
  </si>
  <si>
    <t>Ablakos fal (különb. opc.)           120/120 ablak</t>
  </si>
  <si>
    <t>Egyedi tételek</t>
  </si>
  <si>
    <t>18.</t>
  </si>
  <si>
    <t>19.</t>
  </si>
  <si>
    <t>20.</t>
  </si>
  <si>
    <t>Villamos</t>
  </si>
  <si>
    <t>Világítás többlet &gt; lámpahelyek (helyiség osztás miatt)</t>
  </si>
  <si>
    <t>Bojler (50/120lit. opciós különb.)</t>
  </si>
  <si>
    <t>Le fűtőtestek (nem kell)</t>
  </si>
  <si>
    <t>Zuhany / fürdőkád különbözeti opció</t>
  </si>
  <si>
    <t>Egyedi (többl. v. negatív előjeles levonások(&lt; átírható &gt;))</t>
  </si>
  <si>
    <t>Euró/db</t>
  </si>
  <si>
    <t>nettó</t>
  </si>
  <si>
    <t>#14 A90/150</t>
  </si>
  <si>
    <t>#01 A60/90</t>
  </si>
  <si>
    <t>[&lt; írható mező és ár &gt; ]</t>
  </si>
  <si>
    <t>10.</t>
  </si>
  <si>
    <t>Le kompakt minitűzhely-mosogató-hűtő</t>
  </si>
  <si>
    <t>85*60*90 konyhai alsó p.szekr. modul (mosog.-csepptál járulékok)</t>
  </si>
  <si>
    <t>Netes Ár1... -Ár3 oldalak</t>
  </si>
  <si>
    <t>L</t>
  </si>
  <si>
    <t>Eur/ház</t>
  </si>
  <si>
    <t>å</t>
  </si>
  <si>
    <t>Bevitel kezdete és ITT a vége között egy húzással egyben</t>
  </si>
  <si>
    <t>- bevitel vége -</t>
  </si>
  <si>
    <t>kijelölhető és  NULLÁZ-ható minden. -  Kezdhető új kalkuláció  -.</t>
  </si>
  <si>
    <t xml:space="preserve"> Árkedvezmény alapja: </t>
  </si>
  <si>
    <t>mobilházak</t>
  </si>
  <si>
    <t xml:space="preserve"> db és m2</t>
  </si>
  <si>
    <t>sorolók</t>
  </si>
  <si>
    <t>Sf zárófal klt.</t>
  </si>
  <si>
    <t>angol ablakok</t>
  </si>
  <si>
    <t>Előszoba (Kam-Gard.)</t>
  </si>
  <si>
    <t>garage</t>
  </si>
  <si>
    <t>kamra</t>
  </si>
  <si>
    <t>Egy-terűek</t>
  </si>
  <si>
    <t>Áthozat   &gt; 'Yourself' sz. modulról</t>
  </si>
  <si>
    <t>Lehozat (N): Felár 02. Magas kivitel (különbözeti opció)</t>
  </si>
  <si>
    <t>P</t>
  </si>
  <si>
    <t>m2 feletti árkedv. LE kerek</t>
  </si>
  <si>
    <t>m2-ként</t>
  </si>
  <si>
    <t>%)</t>
  </si>
  <si>
    <t>R</t>
  </si>
  <si>
    <t>S</t>
  </si>
  <si>
    <t>+ -- [%]</t>
  </si>
  <si>
    <t>U</t>
  </si>
  <si>
    <t>össz kg</t>
  </si>
  <si>
    <t>MEGRENDELÉS:</t>
  </si>
  <si>
    <t>Számlázáshoz szükséges adatok:</t>
  </si>
  <si>
    <t>Kapcsolat, elérhetőségek:</t>
  </si>
  <si>
    <t>Név:</t>
  </si>
  <si>
    <t>Név (beosztás):</t>
  </si>
  <si>
    <t>Lánykori név:</t>
  </si>
  <si>
    <t>Tel.1:</t>
  </si>
  <si>
    <t>http://</t>
  </si>
  <si>
    <t>Ir. szám</t>
  </si>
  <si>
    <t>Város:</t>
  </si>
  <si>
    <t>Út, utca, tér stb. neve</t>
  </si>
  <si>
    <t>Skype</t>
  </si>
  <si>
    <t>Házszám, emelet, ajtó...</t>
  </si>
  <si>
    <t>MSN</t>
  </si>
  <si>
    <t xml:space="preserve">A Társaság a számlázáshoz kapott és szükséges adatokat az adatvédelmi Tvr. értelmében bizalmasan kezeli.  Azokat harmadik személy részére nem adja tovább. </t>
  </si>
  <si>
    <t>További megrendelői kiegészítés, megjegyzés, kérés...</t>
  </si>
  <si>
    <r>
      <t>S</t>
    </r>
    <r>
      <rPr>
        <sz val="8"/>
        <rFont val="Arial Narrow"/>
        <family val="2"/>
      </rPr>
      <t xml:space="preserve">   [Ft]</t>
    </r>
  </si>
  <si>
    <r>
      <t>S</t>
    </r>
    <r>
      <rPr>
        <sz val="8"/>
        <rFont val="Arial Narrow"/>
        <family val="2"/>
      </rPr>
      <t xml:space="preserve"> Euro</t>
    </r>
  </si>
  <si>
    <t>Megállapodás:</t>
  </si>
  <si>
    <t xml:space="preserve">A megrendelés visszaigazolása tartalmaz minden olyan elemet ami azonosítja a megrendelés tételeit, a teljes vételárat, a vállalt határidőt. </t>
  </si>
  <si>
    <t xml:space="preserve">A vételár 3 részletben de közel egy időben kerül befizetésre ill. betéti letétbe: </t>
  </si>
  <si>
    <t>I.</t>
  </si>
  <si>
    <t>III.</t>
  </si>
  <si>
    <t xml:space="preserve">A fentmaradó </t>
  </si>
  <si>
    <t xml:space="preserve">Ennek a  költségét megosztva a két megállapodó fél egyenlő arányban viseli. </t>
  </si>
  <si>
    <t>-kal együtt .</t>
  </si>
  <si>
    <t xml:space="preserve">A Társaság ütemezett program szerint gyárt és szerel. </t>
  </si>
  <si>
    <t xml:space="preserve">A vállalt határidő csúszása esetén naponta a Társaságot terhelő napi kötbér mértéke a napi jegybanki alapkamatból számított összeg. </t>
  </si>
  <si>
    <t>Viszmajor esete:</t>
  </si>
  <si>
    <t>11.</t>
  </si>
  <si>
    <t>A gyártót kötelezi a vállalt határidő, a megrendelőt az elkészült termék átvétele.</t>
  </si>
  <si>
    <t>12.</t>
  </si>
  <si>
    <t>13.</t>
  </si>
  <si>
    <t>14.</t>
  </si>
  <si>
    <t>15.</t>
  </si>
  <si>
    <t>Ha a megrendelő (megbízottja) elérhetősége, levelezési címe, a telepítés helye nem azonos a fenti számlázási címmel:</t>
  </si>
  <si>
    <t>Tel:</t>
  </si>
  <si>
    <t>E-mail</t>
  </si>
  <si>
    <t>Üzenet:</t>
  </si>
  <si>
    <t>Út, utca, tér stb</t>
  </si>
  <si>
    <t>Ház szám</t>
  </si>
  <si>
    <t xml:space="preserve">Kelt: </t>
  </si>
  <si>
    <t xml:space="preserve">Pest megye. Gyömrő. </t>
  </si>
  <si>
    <t>(Megrendelő aláírása)</t>
  </si>
  <si>
    <t>16.</t>
  </si>
  <si>
    <t>Tennivalók:</t>
  </si>
  <si>
    <t>- vége(!) -</t>
  </si>
  <si>
    <t>Természetesen módosítottuk az igényeiket...</t>
  </si>
  <si>
    <t>Bízunk benne, hogy talán értjük egymást...</t>
  </si>
  <si>
    <r>
      <t>NORMÁL</t>
    </r>
    <r>
      <rPr>
        <sz val="8"/>
        <rFont val="Arial Narrow"/>
        <family val="2"/>
      </rPr>
      <t xml:space="preserve"> sorolók  Ár2 oszlop</t>
    </r>
  </si>
  <si>
    <t>-os vételár részt az előzőek szerint rendezni.</t>
  </si>
  <si>
    <t xml:space="preserve">A beérkezett megrendelés és az első vételár részből  a 10% foglaló a Társaságot arra kötelezi, hogy 3-8 munkanapon belül a megrendelés nagyságától függően,  jelen megrendelőlap elválaszthatatlan részét képező visszaigazolásában félreérthetetlenül részletezze a megrendelés tételeit, tartalmát  hogy átvételkor vitára semmi ne adjon okot. </t>
  </si>
  <si>
    <t>a Társaságnak joga van egy új teljesítési, szállítási határidőt megállapítani.</t>
  </si>
  <si>
    <t xml:space="preserve">Az milyen csúszást jelenthet ilyenkor, azt a vállaló a folyamatosan érkező más megrendelések  vállalása függvényében tudja csak megállapítani és attól kezdve azt betartani. Ezt a tényt a Megrendelő, mivel a késedelmet  Ő okozta, a Társaság ebben az esetben vétlen, tudomásul veszi és elfogadja. </t>
  </si>
  <si>
    <t>A megrendeléseket a beérkezések és mennyiségek függvényében adott határidőkre kell, hogy vállalja mások felé is. Ezért a jelen megrendelő tudomásul veszi, hogy a visszaigazolt, megadott  határidő 3 munkanapon keresztül érvényes csak és kötelezi a gyártót annak betartására.</t>
  </si>
  <si>
    <t>A felek megállapodnak abban is, hogy  minden, a termékre vonatkozó   megrendelői módosítás, a legapróbb is, melyet postai vénnyel küld meg a Megrendelő, a vállalási végösszeget annak arányában módosíthatja, valamint a szállítási határidőt további minimum 3 - 5  munkanappal esetenként kitolhatja.</t>
  </si>
  <si>
    <t>A megrendelés a megrendelő egyéni kívánságait és felépítettségét tükrözi, az kizárólag az Ö akaratát takarja. Ezért az összegek befizetését követően és ezzel a két fél között létrejött végleges megállapodást  nem lehet felmondani.</t>
  </si>
  <si>
    <t xml:space="preserve">A 6-10.  pont kizárja annak a lehetőségét, hogy a beszerzésnek-, a gyártás előkészítésének-, a termék gyártásának időszakában a megrendeléstől, megállapodástól elálljon a megrendelő. </t>
  </si>
  <si>
    <t>afa &gt;</t>
  </si>
  <si>
    <t>Sorszám: 20</t>
  </si>
  <si>
    <t>/Rend.</t>
  </si>
  <si>
    <t>/</t>
  </si>
  <si>
    <t>______________________________</t>
  </si>
  <si>
    <t>Öko Bautechnik Könnyűszerkezetű Épület és Mobilház Gyártó Kft.</t>
  </si>
  <si>
    <r>
      <t>S</t>
    </r>
    <r>
      <rPr>
        <sz val="7"/>
        <rFont val="Arial Narrow"/>
        <family val="2"/>
      </rPr>
      <t xml:space="preserve">   [Ft]</t>
    </r>
  </si>
  <si>
    <t>altalanos.felszereltseg.html#1</t>
  </si>
  <si>
    <t>altalanos.felszereltseg.html#konyha</t>
  </si>
  <si>
    <t>alapkonyha &gt;&gt;&gt; sztenderd.nk.jpg</t>
  </si>
  <si>
    <t>MINI konyhaber. kiépítettség 3D-s képe.jpg</t>
  </si>
  <si>
    <t>MIDI konyhaber. kiépítettség 3D-s képe.jpg</t>
  </si>
  <si>
    <t>MAXI konyhaber. kiépítettség 3D-s képe.jpg</t>
  </si>
  <si>
    <t>SUPER konyhaber. kiépítetts. 3D-s képe.jpg</t>
  </si>
  <si>
    <t>0.</t>
  </si>
  <si>
    <t>(alap kiépítés, nem opció)</t>
  </si>
  <si>
    <t>A Megrendelő valamint az Öko Bautechnik Kft (Hungária. 2230. Gyömrő. Kőhatár. Külterület 68/81 hrsz), mint könnyűszerkezetű épület és mobilház  gyártó, forgalmazó a következők szerint állapodik meg, melyben foglaltakat mindkét fél kötelező érvénnyel az alábbi pontok szerint elfogad, annak jogosságát nem vitatja:</t>
  </si>
  <si>
    <t>&lt;&lt;&lt;</t>
  </si>
  <si>
    <t>Euró opc./db</t>
  </si>
  <si>
    <t>M</t>
  </si>
  <si>
    <t>opc. változások  &gt;&gt;&gt;</t>
  </si>
  <si>
    <t>( R + S1+S2 + T )  Mind ÖSSZESEN</t>
  </si>
  <si>
    <t>The Storry:</t>
  </si>
  <si>
    <t>Köszönjük…</t>
  </si>
  <si>
    <t>Levelezési CÍM Ir.szám</t>
  </si>
  <si>
    <t>Telepítési hely Ir.szám</t>
  </si>
  <si>
    <t>nap:</t>
  </si>
  <si>
    <t>hónap:</t>
  </si>
  <si>
    <t xml:space="preserve">&gt;&gt;&gt;&gt;   ajtós-, ablakos falelemek    &lt;&lt;&lt;&lt;  </t>
  </si>
  <si>
    <t>Dugalj többlet ált. konnektorok ( helyiség osztás miatt )</t>
  </si>
  <si>
    <t>Skf közép-fal klt.</t>
  </si>
  <si>
    <t xml:space="preserve">Lehozat (G): Opció  01.   (több hőszig./ extra vastag fal). </t>
  </si>
  <si>
    <t>A felek kijelentik, hogy fentieket elolvasták, értelmezték, megértették és a megrendelés tárgyának árát képező összeg befizetésével ill. annak befogadásával ezt a tényt igazolták és minden részletét magunkra nézve az aláírás dátumától kezdve, kötelezően elfogadták.</t>
  </si>
  <si>
    <t>(pH.)</t>
  </si>
  <si>
    <r>
      <t>T</t>
    </r>
    <r>
      <rPr>
        <b/>
        <vertAlign val="subscript"/>
        <sz val="10"/>
        <rFont val="Arial Narrow"/>
        <family val="2"/>
      </rPr>
      <t>1</t>
    </r>
  </si>
  <si>
    <r>
      <t>T</t>
    </r>
    <r>
      <rPr>
        <b/>
        <vertAlign val="subscript"/>
        <sz val="10"/>
        <rFont val="Arial Narrow"/>
        <family val="2"/>
      </rPr>
      <t>2</t>
    </r>
  </si>
  <si>
    <r>
      <t>T</t>
    </r>
    <r>
      <rPr>
        <b/>
        <vertAlign val="subscript"/>
        <sz val="10"/>
        <rFont val="Arial Narrow"/>
        <family val="2"/>
      </rPr>
      <t>3</t>
    </r>
  </si>
  <si>
    <t>Lehozat (G): Opció  02. (energia tároló és hangszig. &gt; dd gipszkart. (opc.))</t>
  </si>
  <si>
    <t>KÜLÖNLEGES lehetőségek:</t>
  </si>
  <si>
    <t>Árkülönbözet  60/120 helyett 60/150 ablakok</t>
  </si>
  <si>
    <t>Árkülönbözet  90/120 helyett 90/150 ablakok</t>
  </si>
  <si>
    <t>&gt; Függőlegesen a db oszlopon a védelem feloldva  (!).</t>
  </si>
  <si>
    <t xml:space="preserve"> &lt; katt &gt;</t>
  </si>
  <si>
    <t>Eur/m2</t>
  </si>
  <si>
    <t xml:space="preserve">    folyosó-dolgozó-gy.szoba</t>
  </si>
  <si>
    <t xml:space="preserve">    dolgozó</t>
  </si>
  <si>
    <t xml:space="preserve">    dolgozó-gy.szoba</t>
  </si>
  <si>
    <t xml:space="preserve">     gy.szoba-dolgozó-nappali</t>
  </si>
  <si>
    <r>
      <t xml:space="preserve">&lt; &lt;   &lt; katt  </t>
    </r>
    <r>
      <rPr>
        <b/>
        <sz val="8"/>
        <rFont val="Arial Narrow"/>
        <family val="2"/>
      </rPr>
      <t>rendelési kód</t>
    </r>
    <r>
      <rPr>
        <sz val="8"/>
        <rFont val="Arial Narrow"/>
        <family val="2"/>
      </rPr>
      <t xml:space="preserve"> a Netes oldalon</t>
    </r>
  </si>
  <si>
    <r>
      <t>Bautech</t>
    </r>
    <r>
      <rPr>
        <b/>
        <sz val="7.5"/>
        <rFont val="Arial Narrow"/>
        <family val="2"/>
      </rPr>
      <t xml:space="preserve"> 'átszellőzős' ablak</t>
    </r>
    <r>
      <rPr>
        <sz val="7.5"/>
        <rFont val="Arial Narrow"/>
        <family val="2"/>
      </rPr>
      <t xml:space="preserve"> </t>
    </r>
    <r>
      <rPr>
        <b/>
        <sz val="8"/>
        <rFont val="Arial Narrow"/>
        <family val="2"/>
      </rPr>
      <t>spaletta</t>
    </r>
    <r>
      <rPr>
        <sz val="7.5"/>
        <rFont val="Arial Narrow"/>
        <family val="2"/>
      </rPr>
      <t xml:space="preserve"> (90/120 ablakok)</t>
    </r>
  </si>
  <si>
    <r>
      <t>Bautech</t>
    </r>
    <r>
      <rPr>
        <sz val="7.5"/>
        <rFont val="Arial Narrow"/>
        <family val="2"/>
      </rPr>
      <t xml:space="preserve"> 'átszellőzős' ablak </t>
    </r>
    <r>
      <rPr>
        <b/>
        <sz val="8"/>
        <rFont val="Arial Narrow"/>
        <family val="2"/>
      </rPr>
      <t>spaletta</t>
    </r>
    <r>
      <rPr>
        <sz val="7.5"/>
        <rFont val="Arial Narrow"/>
        <family val="2"/>
      </rPr>
      <t xml:space="preserve"> (90/150 ablakok)</t>
    </r>
  </si>
  <si>
    <r>
      <t>Bautech</t>
    </r>
    <r>
      <rPr>
        <b/>
        <sz val="7.5"/>
        <rFont val="Arial Narrow"/>
        <family val="2"/>
      </rPr>
      <t xml:space="preserve"> 'átszellőzős' ablak</t>
    </r>
    <r>
      <rPr>
        <sz val="7.5"/>
        <rFont val="Arial Narrow"/>
        <family val="2"/>
      </rPr>
      <t xml:space="preserve"> </t>
    </r>
    <r>
      <rPr>
        <b/>
        <sz val="8"/>
        <rFont val="Arial Narrow"/>
        <family val="2"/>
      </rPr>
      <t>spaletta</t>
    </r>
    <r>
      <rPr>
        <sz val="7.5"/>
        <rFont val="Arial Narrow"/>
        <family val="2"/>
      </rPr>
      <t xml:space="preserve"> (90/90 ablakok)</t>
    </r>
  </si>
  <si>
    <t>Amennyiben az is szükséges, ettől független számlázási tételként fog szerepelni és nem tárgya a fent felsorolt termékek határidős teljesítésének.</t>
  </si>
  <si>
    <t>A darab oszlop egyszeri &gt; EGYBE FÜGGŐ kijelöléssel     &lt; sötét zöld cellától - sötét zöld celláig &gt;    egyben törölhető. AZ OSZLOPON folyamatosan NINCS VÉDELEM(!)</t>
  </si>
  <si>
    <r>
      <t xml:space="preserve">… Amennyiben hivatkozik, magyarázatot kér valamelyik tételre, KÉRJÜK, azt kizárólag az </t>
    </r>
    <r>
      <rPr>
        <b/>
        <sz val="8"/>
        <rFont val="Arial Narrow"/>
        <family val="2"/>
      </rPr>
      <t>Excel számoló</t>
    </r>
    <r>
      <rPr>
        <sz val="8"/>
        <rFont val="Arial Narrow"/>
        <family val="2"/>
      </rPr>
      <t xml:space="preserve"> tábla bal oldali </t>
    </r>
    <r>
      <rPr>
        <b/>
        <sz val="8"/>
        <rFont val="Arial Narrow"/>
        <family val="2"/>
      </rPr>
      <t>sorszámaival tegye</t>
    </r>
    <r>
      <rPr>
        <sz val="8"/>
        <rFont val="Arial Narrow"/>
        <family val="2"/>
      </rPr>
      <t xml:space="preserve">. </t>
    </r>
  </si>
  <si>
    <t>Igen fontos megjegyés:</t>
  </si>
  <si>
    <t>(</t>
  </si>
  <si>
    <t>A három munkanap multával, ha a vételárnak a rendezése valamilyen oknál fogva halasztódik</t>
  </si>
  <si>
    <t xml:space="preserve">ugyanakkor ügyvédi / közjegyzői letétbe kerül, ha a felek úgy állapodnak meg. </t>
  </si>
  <si>
    <t xml:space="preserve">ezzel a lappal együtt esedékes amelyből 10% foglalóként működik. </t>
  </si>
  <si>
    <t>például 4db sorolt egyteru-sum-nk.jpg</t>
  </si>
  <si>
    <t>v-arak-kondiciok-kiegeszitok.html#xls</t>
  </si>
  <si>
    <t>v-arak-kondiciok-kiegeszitok.html#ls</t>
  </si>
  <si>
    <t>v-arak-kondiciok-kiegeszitok.html#ms</t>
  </si>
  <si>
    <t>v-arak-kondiciok-kiegeszitok.html#ss</t>
  </si>
  <si>
    <t>v-arak-kondiciok-kiegeszitok.html#ns</t>
  </si>
  <si>
    <t>számla1</t>
  </si>
  <si>
    <t>számla2</t>
  </si>
  <si>
    <t>számla3</t>
  </si>
  <si>
    <t xml:space="preserve">Foglaló &gt; </t>
  </si>
  <si>
    <t xml:space="preserve">Előleg &gt; </t>
  </si>
  <si>
    <t xml:space="preserve">Letéti vagy maradvány &gt; </t>
  </si>
  <si>
    <t>(az  egy-összegű megállapodás alapja)</t>
  </si>
  <si>
    <t>1-3 pont  ÖSSZESEN</t>
  </si>
  <si>
    <t>Ár1</t>
  </si>
  <si>
    <t>Ár2   Szobák</t>
  </si>
  <si>
    <t>totál [kg]</t>
  </si>
  <si>
    <t>lap[kg]</t>
  </si>
  <si>
    <t>tot[kg]</t>
  </si>
  <si>
    <t>[kg]</t>
  </si>
  <si>
    <t>http://www.gyorshazak.extramobilhazak.hu/v-arak.oko-falak.fodemek.html</t>
  </si>
  <si>
    <t>http://extramobilhazak.hu/valuta/valutaconverter.htm</t>
  </si>
  <si>
    <t>választható panel-nyilasok.sum.jpg</t>
  </si>
  <si>
    <t>&lt;&lt;&lt;  katt képlink</t>
  </si>
  <si>
    <t>ker.tarolo-valtozat-sum-nk.jpg</t>
  </si>
  <si>
    <t>arak-kondiciok-kiegeszitok.html#ews-ÁRAK</t>
  </si>
  <si>
    <t>&lt;&lt;&lt;  katt kép link</t>
  </si>
  <si>
    <t>Dugalj többlet fűtés ak. ( egy.tér megosztás miatt )</t>
  </si>
  <si>
    <t>Fűtőtest radiátorok ( egy.tér megosztás miatt )</t>
  </si>
  <si>
    <t>fel--|--fel</t>
  </si>
  <si>
    <t>Tárolók, Kamrák &gt;</t>
  </si>
  <si>
    <t>bel-magas</t>
  </si>
  <si>
    <r>
      <t>Válaszfalak:</t>
    </r>
    <r>
      <rPr>
        <sz val="8"/>
        <rFont val="Arial Narrow"/>
        <family val="2"/>
      </rPr>
      <t xml:space="preserve"> méret leolvasható az alaprajzról.  &gt; egy egyenlőség jel i</t>
    </r>
    <r>
      <rPr>
        <sz val="8"/>
        <color indexed="12"/>
        <rFont val="Arial Narrow"/>
        <family val="2"/>
      </rPr>
      <t xml:space="preserve">de a </t>
    </r>
    <r>
      <rPr>
        <b/>
        <sz val="8"/>
        <color indexed="12"/>
        <rFont val="Arial Narrow"/>
        <family val="2"/>
      </rPr>
      <t>KÉK cellába</t>
    </r>
    <r>
      <rPr>
        <sz val="8"/>
        <color indexed="12"/>
        <rFont val="Arial Narrow"/>
        <family val="2"/>
      </rPr>
      <t>, és plusszolgatva az Excel összegezni fogja(!)..</t>
    </r>
  </si>
  <si>
    <t>Áthozatok</t>
  </si>
  <si>
    <r>
      <t>Összesen</t>
    </r>
    <r>
      <rPr>
        <sz val="12"/>
        <rFont val="Times New Roman"/>
        <family val="1"/>
      </rPr>
      <t xml:space="preserve"> &gt;  &gt; &gt;</t>
    </r>
  </si>
  <si>
    <t>afa</t>
  </si>
  <si>
    <t xml:space="preserve">A felesleges adminisztráció csökkentése érdekében a jelen megrendelés, a megrendelés visszaigazolása, a tárgyban folytatott levelezés  egy egységként alkotja majd a megállapodást a felek között. </t>
  </si>
  <si>
    <t>arak-kondiciok-kiegeszitok.html#előszoba-ÁRAK</t>
  </si>
  <si>
    <r>
      <t>Mobil garázsok</t>
    </r>
    <r>
      <rPr>
        <sz val="7.5"/>
        <rFont val="Arial"/>
        <family val="2"/>
      </rPr>
      <t xml:space="preserve"> &gt;</t>
    </r>
  </si>
  <si>
    <r>
      <t>Stabi Egy.terűek</t>
    </r>
    <r>
      <rPr>
        <sz val="7.5"/>
        <rFont val="Arial"/>
        <family val="2"/>
      </rPr>
      <t xml:space="preserve"> &gt;</t>
    </r>
  </si>
  <si>
    <t>Skf.1</t>
  </si>
  <si>
    <t>Skf.2</t>
  </si>
  <si>
    <t>Skf.3</t>
  </si>
  <si>
    <t>Skf.4</t>
  </si>
  <si>
    <t>Skf.5</t>
  </si>
  <si>
    <t>Skf.6</t>
  </si>
  <si>
    <t>Skf.7</t>
  </si>
  <si>
    <t>Skf.8</t>
  </si>
  <si>
    <t>Skf.9</t>
  </si>
  <si>
    <t xml:space="preserve">Sf.1… 9 zró falak  &gt; </t>
  </si>
  <si>
    <t xml:space="preserve">&lt;&lt;&lt; SF.1… 9 közti fő-falak </t>
  </si>
  <si>
    <r>
      <t xml:space="preserve"> &lt;&lt;&lt;   klikk - klikk  /  Modell TYPE :     modular   mobilhome </t>
    </r>
    <r>
      <rPr>
        <b/>
        <sz val="8"/>
        <rFont val="Arial Narrow"/>
        <family val="2"/>
      </rPr>
      <t>Fs and Sf.1… -9  interface</t>
    </r>
  </si>
  <si>
    <r>
      <t>ewg1</t>
    </r>
    <r>
      <rPr>
        <sz val="8"/>
        <rFont val="Arial Narrow"/>
        <family val="2"/>
      </rPr>
      <t xml:space="preserve">   (90/60)</t>
    </r>
  </si>
  <si>
    <r>
      <t xml:space="preserve">ewg2 </t>
    </r>
    <r>
      <rPr>
        <sz val="8"/>
        <rFont val="Arial Narrow"/>
        <family val="2"/>
      </rPr>
      <t xml:space="preserve">  (90/90)</t>
    </r>
  </si>
  <si>
    <r>
      <t>ewg3</t>
    </r>
    <r>
      <rPr>
        <sz val="8"/>
        <rFont val="Arial Narrow"/>
        <family val="2"/>
      </rPr>
      <t xml:space="preserve">   (90/120)</t>
    </r>
  </si>
  <si>
    <r>
      <t>ewg3</t>
    </r>
    <r>
      <rPr>
        <sz val="8"/>
        <rFont val="Arial Narrow"/>
        <family val="2"/>
      </rPr>
      <t xml:space="preserve">   (90/150)</t>
    </r>
  </si>
  <si>
    <r>
      <t>Ew vég zárófal</t>
    </r>
    <r>
      <rPr>
        <sz val="8"/>
        <rFont val="Arial Narrow"/>
        <family val="2"/>
      </rPr>
      <t xml:space="preserve"> (teli) </t>
    </r>
  </si>
  <si>
    <t>NS norm</t>
  </si>
  <si>
    <t>SS kisn.</t>
  </si>
  <si>
    <t>xLS super</t>
  </si>
  <si>
    <t>LS extra</t>
  </si>
  <si>
    <t>MS közép</t>
  </si>
  <si>
    <t>,  de max</t>
  </si>
  <si>
    <t>SS.1</t>
  </si>
  <si>
    <t>MS.1</t>
  </si>
  <si>
    <t>KAMRA kialakítás</t>
  </si>
  <si>
    <t>Kölön álló WC kialakítás</t>
  </si>
  <si>
    <t>Gardrob folyóméter</t>
  </si>
  <si>
    <t>eltérő-Elősz. kialakítás</t>
  </si>
  <si>
    <r>
      <t xml:space="preserve">ew.0 </t>
    </r>
    <r>
      <rPr>
        <b/>
        <sz val="7"/>
        <rFont val="Arial Narrow"/>
        <family val="2"/>
      </rPr>
      <t>általános modul</t>
    </r>
    <r>
      <rPr>
        <sz val="7"/>
        <rFont val="Arial Narrow"/>
        <family val="2"/>
      </rPr>
      <t xml:space="preserve">  (pl. kandalló hely, virág terasz)</t>
    </r>
  </si>
  <si>
    <r>
      <t xml:space="preserve">A fent kölcsönösen kialakított termék ár (rendelés szerint):   </t>
    </r>
    <r>
      <rPr>
        <b/>
        <sz val="9"/>
        <rFont val="Arial"/>
        <family val="2"/>
      </rPr>
      <t>-- TELEPHELYI ÁTVÉTELI ÁR --.</t>
    </r>
    <r>
      <rPr>
        <sz val="9"/>
        <rFont val="Arial"/>
        <family val="2"/>
      </rPr>
      <t xml:space="preserve"> Az nem tartalmaz sem szállítási sem más egyéb szolgáltatást.</t>
    </r>
  </si>
  <si>
    <t>Ha felek ezt nem kérik, a harmadik árrész  teljes összege is, a &gt;&gt;&gt;</t>
  </si>
  <si>
    <t>a Társaság számlájára fizetendő az   &gt;&gt;&gt;</t>
  </si>
  <si>
    <t>csak         min 3db</t>
  </si>
  <si>
    <t>&lt;&lt;&lt; tovább</t>
  </si>
  <si>
    <t>[határidők, fizetési ütemek, egyéb fontos tudnivalók]</t>
  </si>
  <si>
    <r>
      <t xml:space="preserve">ç </t>
    </r>
    <r>
      <rPr>
        <b/>
        <sz val="8"/>
        <rFont val="Arial Narrow"/>
        <family val="2"/>
      </rPr>
      <t xml:space="preserve">   Tipp:</t>
    </r>
  </si>
  <si>
    <r>
      <t xml:space="preserve">A fentieken kívül &gt;&gt;&gt; egy </t>
    </r>
    <r>
      <rPr>
        <b/>
        <sz val="10"/>
        <color indexed="10"/>
        <rFont val="Arial"/>
        <family val="2"/>
      </rPr>
      <t>"aranyos"</t>
    </r>
    <r>
      <rPr>
        <b/>
        <sz val="10"/>
        <color indexed="12"/>
        <rFont val="Arial"/>
        <family val="2"/>
      </rPr>
      <t xml:space="preserve"> történet:</t>
    </r>
  </si>
  <si>
    <t>Nem túl régen egy család kérésére megküldtünk a Gallery.Ditto-ban az általuk kiválasztott 60m2 körüli dominó mobil családi házról egy költségelést.</t>
  </si>
  <si>
    <t>(Üdvözlettel sby f. j. ügy. vez.)</t>
  </si>
  <si>
    <t>Nem tudunk dönteni senki helyett. Nem tudjuk mi az ami még megfelel és mi az ami feltétlen kell, viszont minden változás az árat is módosítja(!)…</t>
  </si>
  <si>
    <t xml:space="preserve">Ez a segítség Neked pontosan ezért készült. Nem dönthetünk Helyetted(!). Az elképzelést felénk diktálnod kell(!). Hangoztatjuk, a lehetőségek száma szinte </t>
  </si>
  <si>
    <r>
      <t xml:space="preserve">végtelen </t>
    </r>
    <r>
      <rPr>
        <i/>
        <sz val="8"/>
        <rFont val="Arial Narrow"/>
        <family val="2"/>
      </rPr>
      <t>(úgy 100 000 köröl becsüljük)</t>
    </r>
    <r>
      <rPr>
        <sz val="11"/>
        <rFont val="Arial Narrow"/>
        <family val="2"/>
      </rPr>
      <t xml:space="preserve">, sajnos vele együtt az árak is...      </t>
    </r>
  </si>
  <si>
    <r>
      <t>Hát IGEN(!)…      Ennek</t>
    </r>
    <r>
      <rPr>
        <b/>
        <sz val="11"/>
        <rFont val="Arial Narrow"/>
        <family val="2"/>
      </rPr>
      <t xml:space="preserve">     a      - k a l k u l á t o r n a k -    a megismerése és használata "kicsit vérre is mehet"(!).   </t>
    </r>
  </si>
  <si>
    <r>
      <t xml:space="preserve">le </t>
    </r>
    <r>
      <rPr>
        <b/>
        <u val="single"/>
        <sz val="9"/>
        <color indexed="10"/>
        <rFont val="Wingdings"/>
        <family val="0"/>
      </rPr>
      <t>â</t>
    </r>
    <r>
      <rPr>
        <b/>
        <u val="single"/>
        <sz val="9"/>
        <color indexed="12"/>
        <rFont val="Arial Narrow"/>
        <family val="2"/>
      </rPr>
      <t xml:space="preserve"> össz</t>
    </r>
  </si>
  <si>
    <r>
      <t xml:space="preserve">lap </t>
    </r>
    <r>
      <rPr>
        <b/>
        <u val="single"/>
        <sz val="9"/>
        <color indexed="10"/>
        <rFont val="Wingdings"/>
        <family val="0"/>
      </rPr>
      <t>á</t>
    </r>
    <r>
      <rPr>
        <b/>
        <u val="single"/>
        <sz val="9"/>
        <color indexed="12"/>
        <rFont val="Arial Narrow"/>
        <family val="2"/>
      </rPr>
      <t xml:space="preserve"> eleje</t>
    </r>
  </si>
  <si>
    <r>
      <t>M</t>
    </r>
    <r>
      <rPr>
        <b/>
        <u val="single"/>
        <sz val="9"/>
        <color indexed="12"/>
        <rFont val="Arial Narrow"/>
        <family val="2"/>
      </rPr>
      <t xml:space="preserve"> . Egytér-komfort</t>
    </r>
  </si>
  <si>
    <t>S .</t>
  </si>
  <si>
    <t>M .</t>
  </si>
  <si>
    <t>L .</t>
  </si>
  <si>
    <t>xL .</t>
  </si>
  <si>
    <t>&lt; katt</t>
  </si>
  <si>
    <t xml:space="preserve">S. széles  válaszfal </t>
  </si>
  <si>
    <t xml:space="preserve">M. széles  válaszfal </t>
  </si>
  <si>
    <t xml:space="preserve">L. széles  válaszfal </t>
  </si>
  <si>
    <t xml:space="preserve">xL. széles  válaszfal </t>
  </si>
  <si>
    <r>
      <t xml:space="preserve">2009-től már alapáras normál fal / </t>
    </r>
    <r>
      <rPr>
        <b/>
        <sz val="8"/>
        <color indexed="22"/>
        <rFont val="Arial Narrow"/>
        <family val="2"/>
      </rPr>
      <t>13 cm</t>
    </r>
    <r>
      <rPr>
        <sz val="8"/>
        <color indexed="22"/>
        <rFont val="Arial Narrow"/>
        <family val="2"/>
      </rPr>
      <t xml:space="preserve"> vtg falak-födémek (össz rétegeg &gt; </t>
    </r>
    <r>
      <rPr>
        <b/>
        <sz val="8"/>
        <color indexed="22"/>
        <rFont val="Arial Narrow"/>
        <family val="2"/>
      </rPr>
      <t>22</t>
    </r>
    <r>
      <rPr>
        <sz val="8"/>
        <color indexed="22"/>
        <rFont val="Arial Narrow"/>
        <family val="2"/>
      </rPr>
      <t xml:space="preserve"> cm)</t>
    </r>
  </si>
  <si>
    <r>
      <t xml:space="preserve">2010-től már alapáras normál fal / </t>
    </r>
    <r>
      <rPr>
        <b/>
        <sz val="8"/>
        <color indexed="22"/>
        <rFont val="Arial Narrow"/>
        <family val="2"/>
      </rPr>
      <t>16 cm</t>
    </r>
    <r>
      <rPr>
        <sz val="8"/>
        <color indexed="22"/>
        <rFont val="Arial Narrow"/>
        <family val="2"/>
      </rPr>
      <t xml:space="preserve"> vtg falak-födémek (össz rétegeg &gt; </t>
    </r>
    <r>
      <rPr>
        <b/>
        <sz val="8"/>
        <color indexed="22"/>
        <rFont val="Arial Narrow"/>
        <family val="2"/>
      </rPr>
      <t>25</t>
    </r>
    <r>
      <rPr>
        <sz val="8"/>
        <color indexed="22"/>
        <rFont val="Arial Narrow"/>
        <family val="2"/>
      </rPr>
      <t xml:space="preserve"> cm)</t>
    </r>
  </si>
  <si>
    <t>LEVONÁSOK:</t>
  </si>
  <si>
    <r>
      <t xml:space="preserve">Össz </t>
    </r>
    <r>
      <rPr>
        <b/>
        <sz val="8"/>
        <rFont val="Arial Narrow"/>
        <family val="2"/>
      </rPr>
      <t>S DOMINÓ</t>
    </r>
    <r>
      <rPr>
        <sz val="8"/>
        <rFont val="Arial Narrow"/>
        <family val="2"/>
      </rPr>
      <t xml:space="preserve"> </t>
    </r>
    <r>
      <rPr>
        <b/>
        <sz val="8"/>
        <rFont val="Arial Narrow"/>
        <family val="2"/>
      </rPr>
      <t>mobilházak</t>
    </r>
  </si>
  <si>
    <t>kapcs./bővítők (soroló) &gt;</t>
  </si>
  <si>
    <t>Külső Cotage (konzol-bőv.) &gt;</t>
  </si>
  <si>
    <t>fransis69</t>
  </si>
  <si>
    <r>
      <t>Egyedi kalkuláció:</t>
    </r>
    <r>
      <rPr>
        <sz val="8"/>
        <rFont val="Arial Narrow"/>
        <family val="2"/>
      </rPr>
      <t xml:space="preserve">  igények előkészítése, mennyiségi db-ok rögzítése…</t>
    </r>
  </si>
  <si>
    <t>Ott lesz az ÖNNEK a mobilhome alaprajz linkje, a netes oldala  (a kalkuláció alapja) &gt;&gt;&gt;    Katt oda &gt;&gt;&gt;</t>
  </si>
  <si>
    <t>MINTA mobilhome &gt; katt IDE</t>
  </si>
  <si>
    <t xml:space="preserve">  &lt;&lt;&lt; katt oda.                                                &lt;&lt;&lt;   Ugrás    EURO/Ft    valutaváltó (!)…   </t>
  </si>
  <si>
    <t>€/Ft &gt; frissít</t>
  </si>
  <si>
    <t>DEEP [m]</t>
  </si>
  <si>
    <t xml:space="preserve">    Totál    hely</t>
  </si>
  <si>
    <t>S-1.1</t>
  </si>
  <si>
    <t>S-2.1</t>
  </si>
  <si>
    <t>S-3.1</t>
  </si>
  <si>
    <t>S-4.1</t>
  </si>
  <si>
    <t>S-5.1</t>
  </si>
  <si>
    <t>S-6.1</t>
  </si>
  <si>
    <t>S-7.1</t>
  </si>
  <si>
    <t>S-8.1</t>
  </si>
  <si>
    <t>S-9.1              kifutó méret(!)</t>
  </si>
  <si>
    <t xml:space="preserve"> (no konyha-közl.-vizesblokk) &gt; 'pl. Szobák-, nappali-, irodák-, üzleti helyiségek etc...'  Ár2 árak</t>
  </si>
  <si>
    <t>S-1.0</t>
  </si>
  <si>
    <t>S-2.0</t>
  </si>
  <si>
    <t>S-3.0</t>
  </si>
  <si>
    <t>S-4.0</t>
  </si>
  <si>
    <t>S-5.0</t>
  </si>
  <si>
    <t>S-6.0</t>
  </si>
  <si>
    <t>S-7.0</t>
  </si>
  <si>
    <t>S-8.0</t>
  </si>
  <si>
    <t>M - 1.1</t>
  </si>
  <si>
    <t>M - 2.1</t>
  </si>
  <si>
    <t>M - 3.1</t>
  </si>
  <si>
    <t>M - 4.1</t>
  </si>
  <si>
    <t>M - 5.1</t>
  </si>
  <si>
    <t>M - 6.1</t>
  </si>
  <si>
    <t>M - 7.1</t>
  </si>
  <si>
    <t>M - 8.1</t>
  </si>
  <si>
    <t>M - 9.1              kifutó méret(!)</t>
  </si>
  <si>
    <t>M - 1.0</t>
  </si>
  <si>
    <t>M - 2.0</t>
  </si>
  <si>
    <t>M - 3.0</t>
  </si>
  <si>
    <t>M - 4.0</t>
  </si>
  <si>
    <t>M - 5.0</t>
  </si>
  <si>
    <t>M - 6.0</t>
  </si>
  <si>
    <t>M - 7.0</t>
  </si>
  <si>
    <t>M - 8.0</t>
  </si>
  <si>
    <t>M - 9.0              kifutó méret(!)</t>
  </si>
  <si>
    <t xml:space="preserve">    Totál hely</t>
  </si>
  <si>
    <t>L - 1.1</t>
  </si>
  <si>
    <t>L - 2.1</t>
  </si>
  <si>
    <t>L - 3.1</t>
  </si>
  <si>
    <t>L - 4.1</t>
  </si>
  <si>
    <t>L - 5.1</t>
  </si>
  <si>
    <t>L - 6.1</t>
  </si>
  <si>
    <t>L - 7.1</t>
  </si>
  <si>
    <t>L - 8.1</t>
  </si>
  <si>
    <t>L - 9.1              kifutó méret(!)</t>
  </si>
  <si>
    <t>L - 1.0</t>
  </si>
  <si>
    <t>L - 2.0</t>
  </si>
  <si>
    <t>L - 3.0</t>
  </si>
  <si>
    <t>L - 4.0</t>
  </si>
  <si>
    <t>L - 5.0</t>
  </si>
  <si>
    <t>L - 6.0</t>
  </si>
  <si>
    <t>L - 7.0</t>
  </si>
  <si>
    <t>L - 8.0</t>
  </si>
  <si>
    <t>L - 9.0              kifutó méret(!)</t>
  </si>
  <si>
    <t>xL - 1.1</t>
  </si>
  <si>
    <t>xL - 2.1</t>
  </si>
  <si>
    <t>xL - 3.1</t>
  </si>
  <si>
    <t>xL - 4.1</t>
  </si>
  <si>
    <t>xL - 5.1</t>
  </si>
  <si>
    <t>xL - 6.1</t>
  </si>
  <si>
    <t>xL - 7.1</t>
  </si>
  <si>
    <t>xL - 8.1</t>
  </si>
  <si>
    <t>xL - 9.1              kifutó méret(!)</t>
  </si>
  <si>
    <t>xL - 1.0</t>
  </si>
  <si>
    <t>xL - 2.0</t>
  </si>
  <si>
    <t>xL - 3.0</t>
  </si>
  <si>
    <t>xL - 4.0</t>
  </si>
  <si>
    <t>xL - 5.0</t>
  </si>
  <si>
    <t>xL - 6.0</t>
  </si>
  <si>
    <t>xL - 7.0</t>
  </si>
  <si>
    <t>xL - 8.0</t>
  </si>
  <si>
    <r>
      <t>DIREKT</t>
    </r>
    <r>
      <rPr>
        <sz val="8"/>
        <rFont val="Arial Narrow"/>
        <family val="2"/>
      </rPr>
      <t xml:space="preserve"> sorolók  Ár2 oszlop</t>
    </r>
  </si>
  <si>
    <r>
      <t>Direkt</t>
    </r>
    <r>
      <rPr>
        <sz val="8"/>
        <rFont val="Arial Narrow"/>
        <family val="2"/>
      </rPr>
      <t xml:space="preserve">  kapcsoló</t>
    </r>
  </si>
  <si>
    <r>
      <t xml:space="preserve">DS-1...9 </t>
    </r>
    <r>
      <rPr>
        <sz val="8"/>
        <rFont val="Arial Narrow"/>
        <family val="2"/>
      </rPr>
      <t>Univ. Direkt vagy közvetlen soros-párhuzamos kapcsló</t>
    </r>
  </si>
  <si>
    <t>Ds norm</t>
  </si>
  <si>
    <r>
      <t>Normál</t>
    </r>
    <r>
      <rPr>
        <sz val="8"/>
        <rFont val="Arial Narrow"/>
        <family val="2"/>
      </rPr>
      <t xml:space="preserve"> alap Modul</t>
    </r>
  </si>
  <si>
    <r>
      <t xml:space="preserve">NS-1 </t>
    </r>
    <r>
      <rPr>
        <sz val="8"/>
        <rFont val="Arial Narrow"/>
        <family val="2"/>
      </rPr>
      <t>Univ. soros-párhuzamos</t>
    </r>
  </si>
  <si>
    <r>
      <t>Kis Nagy</t>
    </r>
    <r>
      <rPr>
        <sz val="8"/>
        <rFont val="Arial Narrow"/>
        <family val="2"/>
      </rPr>
      <t xml:space="preserve"> Kapcs./Bővővítők   ára</t>
    </r>
  </si>
  <si>
    <r>
      <t>Extra Nagy</t>
    </r>
    <r>
      <rPr>
        <sz val="8"/>
        <rFont val="Arial Narrow"/>
        <family val="2"/>
      </rPr>
      <t xml:space="preserve"> sorolók   árak</t>
    </r>
  </si>
  <si>
    <t>LS.1</t>
  </si>
  <si>
    <r>
      <t>Super Nagy</t>
    </r>
    <r>
      <rPr>
        <sz val="8"/>
        <rFont val="Arial Narrow"/>
        <family val="2"/>
      </rPr>
      <t xml:space="preserve"> sorolók   árak</t>
    </r>
  </si>
  <si>
    <t>xLS.1</t>
  </si>
  <si>
    <t xml:space="preserve">   Totál hely</t>
  </si>
  <si>
    <t>Záró fal (normál magas)</t>
  </si>
  <si>
    <t>Közép fal  (normál magas)</t>
  </si>
  <si>
    <t>00</t>
  </si>
  <si>
    <t>LE: HOMLOKZAT BURK. bevitel 8keruleti méret &gt;</t>
  </si>
  <si>
    <t>&lt; &lt;   &lt;</t>
  </si>
  <si>
    <t>Lapszerelt/szerkezetkész dominók   ˇ</t>
  </si>
  <si>
    <r>
      <t xml:space="preserve">Modell TYPE :    </t>
    </r>
    <r>
      <rPr>
        <b/>
        <sz val="11"/>
        <rFont val="Arial Narrow"/>
        <family val="2"/>
      </rPr>
      <t xml:space="preserve">ews.1 ang.ablak                      </t>
    </r>
    <r>
      <rPr>
        <sz val="8"/>
        <rFont val="Arial Narrow"/>
        <family val="2"/>
      </rPr>
      <t xml:space="preserve">   modular   mobilhome interface</t>
    </r>
  </si>
  <si>
    <r>
      <t>Konyhaber.</t>
    </r>
    <r>
      <rPr>
        <sz val="8"/>
        <color indexed="9"/>
        <rFont val="Arial Narrow"/>
        <family val="2"/>
      </rPr>
      <t xml:space="preserve"> (választható kiépítés &gt; Mini-Midi-Maxi-Super , standard/szükséglet különbözeti opció)</t>
    </r>
  </si>
  <si>
    <r>
      <t xml:space="preserve">     </t>
    </r>
    <r>
      <rPr>
        <b/>
        <sz val="8"/>
        <color indexed="9"/>
        <rFont val="Arial Narrow"/>
        <family val="2"/>
      </rPr>
      <t>KONYHÁK</t>
    </r>
    <r>
      <rPr>
        <sz val="8"/>
        <color indexed="9"/>
        <rFont val="Arial Narrow"/>
        <family val="2"/>
      </rPr>
      <t xml:space="preserve"> &gt; 3D-s képek                                                                                        alá linkelve  </t>
    </r>
  </si>
  <si>
    <r>
      <t>Egyedi eltérések</t>
    </r>
    <r>
      <rPr>
        <sz val="8"/>
        <color indexed="9"/>
        <rFont val="Arial Narrow"/>
        <family val="2"/>
      </rPr>
      <t xml:space="preserve"> (többletek vagy negatív előjeles levonások)</t>
    </r>
  </si>
  <si>
    <r>
      <t xml:space="preserve">Válaszható </t>
    </r>
    <r>
      <rPr>
        <b/>
        <sz val="8"/>
        <rFont val="Arial Narrow"/>
        <family val="2"/>
      </rPr>
      <t xml:space="preserve">Ajtós, ablakos, terasz-ajtós, portálos változatok:                                                                                                                       </t>
    </r>
    <r>
      <rPr>
        <sz val="8"/>
        <rFont val="Arial Narrow"/>
        <family val="2"/>
      </rPr>
      <t>Különbözeti opció ( tele-fal / nyílászárós fal &gt;&gt;&gt; gyártási különbség</t>
    </r>
  </si>
  <si>
    <r>
      <t xml:space="preserve">Opciós Felár    </t>
    </r>
    <r>
      <rPr>
        <b/>
        <sz val="14"/>
        <color indexed="9"/>
        <rFont val="Arial Narrow"/>
        <family val="2"/>
      </rPr>
      <t>2 réteg GIPSZKARTON</t>
    </r>
    <r>
      <rPr>
        <sz val="8"/>
        <color indexed="9"/>
        <rFont val="Arial Narrow"/>
        <family val="2"/>
      </rPr>
      <t xml:space="preserve">    (hangszig. hőszig.    &gt; tűzvédelmi és hőtároló hatás fokozó tehetetlen tömeg bevitel (csökkenti a hőveszteséget is) &gt;&gt;&gt; </t>
    </r>
  </si>
  <si>
    <r>
      <t>xx</t>
    </r>
    <r>
      <rPr>
        <b/>
        <sz val="9"/>
        <color indexed="55"/>
        <rFont val="Arial Narrow"/>
        <family val="2"/>
      </rPr>
      <t xml:space="preserve"> - Egy-helyiségek</t>
    </r>
  </si>
  <si>
    <t>xx - 1.0</t>
  </si>
  <si>
    <t>xx - 2.0</t>
  </si>
  <si>
    <t>xx - 3.0</t>
  </si>
  <si>
    <t>xx - 4.0</t>
  </si>
  <si>
    <t>xx - 5.0</t>
  </si>
  <si>
    <t>xx - 6.0</t>
  </si>
  <si>
    <t>xx - 7.0</t>
  </si>
  <si>
    <t>xx - 8.0</t>
  </si>
  <si>
    <r>
      <t xml:space="preserve">Modell TYPE :   </t>
    </r>
    <r>
      <rPr>
        <b/>
        <sz val="10"/>
        <color indexed="14"/>
        <rFont val="Arial Narrow"/>
        <family val="2"/>
      </rPr>
      <t>xx</t>
    </r>
    <r>
      <rPr>
        <b/>
        <sz val="11"/>
        <color indexed="14"/>
        <rFont val="Arial Narrow"/>
        <family val="2"/>
      </rPr>
      <t xml:space="preserve"> Domino</t>
    </r>
    <r>
      <rPr>
        <b/>
        <sz val="9"/>
        <color indexed="14"/>
        <rFont val="Arial Narrow"/>
        <family val="2"/>
      </rPr>
      <t xml:space="preserve">   </t>
    </r>
    <r>
      <rPr>
        <sz val="7"/>
        <color indexed="14"/>
        <rFont val="Arial Narrow"/>
        <family val="2"/>
      </rPr>
      <t xml:space="preserve"> modular   mobilhome</t>
    </r>
  </si>
  <si>
    <t>le ˇˇ össz</t>
  </si>
  <si>
    <r>
      <t xml:space="preserve">Össz </t>
    </r>
    <r>
      <rPr>
        <b/>
        <sz val="12"/>
        <rFont val="Arial Narrow"/>
        <family val="2"/>
      </rPr>
      <t>xx</t>
    </r>
    <r>
      <rPr>
        <b/>
        <sz val="8"/>
        <rFont val="Arial Narrow"/>
        <family val="2"/>
      </rPr>
      <t xml:space="preserve">   DOMINÓ</t>
    </r>
    <r>
      <rPr>
        <sz val="8"/>
        <rFont val="Arial Narrow"/>
        <family val="2"/>
      </rPr>
      <t xml:space="preserve"> </t>
    </r>
    <r>
      <rPr>
        <b/>
        <sz val="8"/>
        <rFont val="Arial Narrow"/>
        <family val="2"/>
      </rPr>
      <t>mobilházak</t>
    </r>
  </si>
  <si>
    <t>xx - 15</t>
  </si>
  <si>
    <t>xx - 25</t>
  </si>
  <si>
    <t>xx - 35</t>
  </si>
  <si>
    <t>xx - 45</t>
  </si>
  <si>
    <t>xx - 55</t>
  </si>
  <si>
    <t>xx - 65</t>
  </si>
  <si>
    <t>xx - 75</t>
  </si>
  <si>
    <t>xx - 85</t>
  </si>
  <si>
    <t>A393</t>
  </si>
  <si>
    <t>NEM kell falak levon</t>
  </si>
  <si>
    <t>xX .</t>
  </si>
  <si>
    <t>lap       alja</t>
  </si>
  <si>
    <t xml:space="preserve"> Ft/EURO?  Megnézem &gt;</t>
  </si>
  <si>
    <t>xL - 9.0              kifutott méret(!)</t>
  </si>
  <si>
    <t>..</t>
  </si>
</sst>
</file>

<file path=xl/styles.xml><?xml version="1.0" encoding="utf-8"?>
<styleSheet xmlns="http://schemas.openxmlformats.org/spreadsheetml/2006/main">
  <numFmts count="7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 ;[Red]\-#,##0\ "/>
    <numFmt numFmtId="165" formatCode="0_ ;[Red]\-0\ "/>
    <numFmt numFmtId="166" formatCode="0.0"/>
    <numFmt numFmtId="167" formatCode="#,##0.0_ ;[Red]\-#,##0.0\ "/>
    <numFmt numFmtId="168" formatCode="#,##0.00_ ;[Red]\-#,##0.00\ "/>
    <numFmt numFmtId="169" formatCode="0.0%"/>
    <numFmt numFmtId="170" formatCode="#,##0\ [$€-1];[Red]\-#,##0\ [$€-1]"/>
    <numFmt numFmtId="171" formatCode="0.000"/>
    <numFmt numFmtId="172" formatCode="0.0_ ;[Red]\-0.0\ "/>
    <numFmt numFmtId="173" formatCode="0.00_ ;[Red]\-0.00\ "/>
    <numFmt numFmtId="174" formatCode="#,##0.00\ [$€-1]"/>
    <numFmt numFmtId="175" formatCode="#,##0.00\ &quot;Ft&quot;"/>
    <numFmt numFmtId="176" formatCode="#,##0\ &quot;Ft&quot;"/>
    <numFmt numFmtId="177" formatCode="0.000_ ;[Red]\-0.000\ "/>
    <numFmt numFmtId="178" formatCode="0.0000_ ;[Red]\-0.0000\ "/>
    <numFmt numFmtId="179" formatCode="0.00;[Red]0.00"/>
    <numFmt numFmtId="180" formatCode="#,##0\ _F_t"/>
    <numFmt numFmtId="181" formatCode="0.0000"/>
    <numFmt numFmtId="182" formatCode="[$€-2]\ #,##0"/>
    <numFmt numFmtId="183" formatCode="[$€-2]\ #,##0.00"/>
    <numFmt numFmtId="184" formatCode="#,##0\ [$€-1]"/>
    <numFmt numFmtId="185" formatCode="#,##0\ [$€-1];[Red]#,##0\ [$€-1]"/>
    <numFmt numFmtId="186" formatCode="#,##0.0\ &quot;Ft&quot;"/>
    <numFmt numFmtId="187" formatCode="#,##0.00\ [$€-1];[Red]#,##0.00\ [$€-1]"/>
    <numFmt numFmtId="188" formatCode="#,##0.0\ [$€-1];[Red]#,##0.0\ [$€-1]"/>
    <numFmt numFmtId="189" formatCode="#,##0.0\ [$€-1]"/>
    <numFmt numFmtId="190" formatCode="[$-40E]yyyy\.\ mmmm\ d\."/>
    <numFmt numFmtId="191" formatCode="#,##0.0"/>
    <numFmt numFmtId="192" formatCode="#,##0.00\ &quot;Ft&quot;;[Red]#,##0.00\ &quot;Ft&quot;"/>
    <numFmt numFmtId="193" formatCode="dd/mmm/yyyy"/>
    <numFmt numFmtId="194" formatCode="#,##0\ &quot;Ft&quot;;[Red]#,##0\ &quot;Ft&quot;"/>
    <numFmt numFmtId="195" formatCode="0.00000"/>
    <numFmt numFmtId="196" formatCode="0.000000"/>
    <numFmt numFmtId="197" formatCode="0;[Red]0"/>
    <numFmt numFmtId="198" formatCode="[$€-2]\ #,##0.0"/>
    <numFmt numFmtId="199" formatCode="#,##0.000"/>
    <numFmt numFmtId="200" formatCode="0.000%"/>
    <numFmt numFmtId="201" formatCode="[$€-2]\ #,##0.000"/>
    <numFmt numFmtId="202" formatCode="[$€-2]\ #,##0.0000"/>
    <numFmt numFmtId="203" formatCode="[$€-2]\ #,##0.00000"/>
    <numFmt numFmtId="204" formatCode="#,##0.00\ _F_t"/>
    <numFmt numFmtId="205" formatCode="#,##0.0\ _F_t"/>
    <numFmt numFmtId="206" formatCode="0.00000000"/>
    <numFmt numFmtId="207" formatCode="0.0000000"/>
    <numFmt numFmtId="208" formatCode="0.0000E+00"/>
    <numFmt numFmtId="209" formatCode="0.000E+00"/>
    <numFmt numFmtId="210" formatCode="0.0E+00"/>
    <numFmt numFmtId="211" formatCode="0E+00"/>
    <numFmt numFmtId="212" formatCode="0.E+00"/>
    <numFmt numFmtId="213" formatCode="0.000;[Red]0.000"/>
    <numFmt numFmtId="214" formatCode="0.0;[Red]0.0"/>
    <numFmt numFmtId="215" formatCode="0.000000000"/>
    <numFmt numFmtId="216" formatCode="0.0000000000"/>
    <numFmt numFmtId="217" formatCode="0.00000000000"/>
    <numFmt numFmtId="218" formatCode="0.000000000000"/>
    <numFmt numFmtId="219" formatCode="0.0000000000000"/>
    <numFmt numFmtId="220" formatCode="0.00000000000000"/>
    <numFmt numFmtId="221" formatCode="0.000000000000000"/>
    <numFmt numFmtId="222" formatCode="0.0000000000000000"/>
    <numFmt numFmtId="223" formatCode="0.00000000000000000"/>
    <numFmt numFmtId="224" formatCode="0.000000000000000000"/>
    <numFmt numFmtId="225" formatCode="0.0000000000000000000"/>
    <numFmt numFmtId="226" formatCode="0.00000000000000000000"/>
    <numFmt numFmtId="227" formatCode="#,##0.000\ &quot;Ft&quot;"/>
  </numFmts>
  <fonts count="177">
    <font>
      <sz val="5"/>
      <name val="MS Sans Serif"/>
      <family val="0"/>
    </font>
    <font>
      <sz val="7.5"/>
      <name val="Arial Narrow"/>
      <family val="2"/>
    </font>
    <font>
      <sz val="8"/>
      <name val="MS Sans Serif"/>
      <family val="0"/>
    </font>
    <font>
      <sz val="8"/>
      <name val="Arial Narrow"/>
      <family val="2"/>
    </font>
    <font>
      <b/>
      <sz val="8"/>
      <name val="Arial Narrow"/>
      <family val="2"/>
    </font>
    <font>
      <sz val="7"/>
      <name val="Arial Narrow"/>
      <family val="2"/>
    </font>
    <font>
      <i/>
      <sz val="8"/>
      <name val="Arial Narrow"/>
      <family val="2"/>
    </font>
    <font>
      <u val="single"/>
      <sz val="10"/>
      <color indexed="12"/>
      <name val="Arial Narrow"/>
      <family val="0"/>
    </font>
    <font>
      <b/>
      <sz val="10"/>
      <name val="Arial Narrow"/>
      <family val="2"/>
    </font>
    <font>
      <sz val="8"/>
      <name val="Symbol"/>
      <family val="1"/>
    </font>
    <font>
      <sz val="8"/>
      <color indexed="12"/>
      <name val="Arial Narrow"/>
      <family val="2"/>
    </font>
    <font>
      <sz val="8"/>
      <name val="Arial"/>
      <family val="2"/>
    </font>
    <font>
      <u val="single"/>
      <sz val="8"/>
      <color indexed="12"/>
      <name val="Arial Narrow"/>
      <family val="0"/>
    </font>
    <font>
      <u val="single"/>
      <sz val="5"/>
      <color indexed="36"/>
      <name val="MS Sans Serif"/>
      <family val="0"/>
    </font>
    <font>
      <sz val="7.5"/>
      <color indexed="12"/>
      <name val="Arial Narrow"/>
      <family val="2"/>
    </font>
    <font>
      <b/>
      <sz val="7"/>
      <name val="Arial Narrow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8"/>
      <color indexed="9"/>
      <name val="Arial Narrow"/>
      <family val="2"/>
    </font>
    <font>
      <sz val="8"/>
      <color indexed="9"/>
      <name val="Arial Narrow"/>
      <family val="2"/>
    </font>
    <font>
      <b/>
      <sz val="9"/>
      <name val="Arial Narrow"/>
      <family val="2"/>
    </font>
    <font>
      <sz val="7"/>
      <color indexed="10"/>
      <name val="Arial Narrow"/>
      <family val="2"/>
    </font>
    <font>
      <sz val="7"/>
      <name val="Symbol"/>
      <family val="1"/>
    </font>
    <font>
      <sz val="7"/>
      <color indexed="12"/>
      <name val="Arial Narrow"/>
      <family val="2"/>
    </font>
    <font>
      <sz val="6"/>
      <name val="Arial Narrow"/>
      <family val="2"/>
    </font>
    <font>
      <b/>
      <sz val="12"/>
      <name val="Times New Roman"/>
      <family val="1"/>
    </font>
    <font>
      <b/>
      <sz val="11"/>
      <name val="Arial Narrow"/>
      <family val="2"/>
    </font>
    <font>
      <sz val="10"/>
      <name val="Arial"/>
      <family val="2"/>
    </font>
    <font>
      <b/>
      <vertAlign val="subscript"/>
      <sz val="10"/>
      <name val="Arial Narrow"/>
      <family val="2"/>
    </font>
    <font>
      <sz val="8"/>
      <color indexed="22"/>
      <name val="Arial Narrow"/>
      <family val="2"/>
    </font>
    <font>
      <sz val="18"/>
      <name val="Arial Narrow"/>
      <family val="2"/>
    </font>
    <font>
      <sz val="16"/>
      <name val="Arial Narrow"/>
      <family val="2"/>
    </font>
    <font>
      <sz val="16"/>
      <color indexed="10"/>
      <name val="Arial Narrow"/>
      <family val="2"/>
    </font>
    <font>
      <sz val="11"/>
      <name val="Arial Narrow"/>
      <family val="2"/>
    </font>
    <font>
      <b/>
      <sz val="10"/>
      <color indexed="12"/>
      <name val="Arial"/>
      <family val="2"/>
    </font>
    <font>
      <sz val="7"/>
      <color indexed="9"/>
      <name val="Arial Narrow"/>
      <family val="2"/>
    </font>
    <font>
      <b/>
      <u val="single"/>
      <sz val="8"/>
      <name val="Arial Narrow"/>
      <family val="2"/>
    </font>
    <font>
      <u val="single"/>
      <sz val="8"/>
      <name val="Arial Narrow"/>
      <family val="2"/>
    </font>
    <font>
      <b/>
      <sz val="8"/>
      <color indexed="12"/>
      <name val="Arial Narrow"/>
      <family val="2"/>
    </font>
    <font>
      <b/>
      <sz val="7.5"/>
      <name val="Arial"/>
      <family val="2"/>
    </font>
    <font>
      <sz val="7.5"/>
      <name val="Arial"/>
      <family val="2"/>
    </font>
    <font>
      <b/>
      <sz val="9"/>
      <color indexed="10"/>
      <name val="Arial"/>
      <family val="2"/>
    </font>
    <font>
      <i/>
      <sz val="8"/>
      <name val="Arial"/>
      <family val="2"/>
    </font>
    <font>
      <b/>
      <sz val="6"/>
      <name val="Arial Narrow"/>
      <family val="2"/>
    </font>
    <font>
      <sz val="6"/>
      <color indexed="55"/>
      <name val="Arial Narrow"/>
      <family val="2"/>
    </font>
    <font>
      <b/>
      <u val="single"/>
      <sz val="16"/>
      <color indexed="12"/>
      <name val="Arial Narrow"/>
      <family val="2"/>
    </font>
    <font>
      <b/>
      <sz val="8"/>
      <color indexed="53"/>
      <name val="Arial Narrow"/>
      <family val="2"/>
    </font>
    <font>
      <b/>
      <sz val="8"/>
      <color indexed="21"/>
      <name val="Arial Narrow"/>
      <family val="2"/>
    </font>
    <font>
      <b/>
      <sz val="8"/>
      <color indexed="14"/>
      <name val="Arial Narrow"/>
      <family val="2"/>
    </font>
    <font>
      <sz val="8"/>
      <color indexed="53"/>
      <name val="Arial Narrow"/>
      <family val="2"/>
    </font>
    <font>
      <b/>
      <sz val="8"/>
      <name val="Arial"/>
      <family val="2"/>
    </font>
    <font>
      <b/>
      <sz val="7.5"/>
      <name val="Arial Narrow"/>
      <family val="2"/>
    </font>
    <font>
      <sz val="6"/>
      <color indexed="23"/>
      <name val="Arial Narrow"/>
      <family val="2"/>
    </font>
    <font>
      <sz val="5.5"/>
      <color indexed="23"/>
      <name val="Arial Narrow"/>
      <family val="2"/>
    </font>
    <font>
      <i/>
      <u val="single"/>
      <sz val="7"/>
      <color indexed="23"/>
      <name val="Arial Narrow"/>
      <family val="2"/>
    </font>
    <font>
      <i/>
      <sz val="7"/>
      <name val="Arial Narrow"/>
      <family val="2"/>
    </font>
    <font>
      <i/>
      <sz val="8"/>
      <color indexed="14"/>
      <name val="Arial Narrow"/>
      <family val="2"/>
    </font>
    <font>
      <b/>
      <u val="single"/>
      <sz val="10"/>
      <name val="Arial Narrow"/>
      <family val="2"/>
    </font>
    <font>
      <b/>
      <u val="single"/>
      <sz val="10"/>
      <color indexed="21"/>
      <name val="Arial Narrow"/>
      <family val="2"/>
    </font>
    <font>
      <b/>
      <u val="single"/>
      <sz val="10"/>
      <color indexed="12"/>
      <name val="Arial Narrow"/>
      <family val="2"/>
    </font>
    <font>
      <b/>
      <u val="single"/>
      <sz val="10"/>
      <color indexed="53"/>
      <name val="Arial Narrow"/>
      <family val="2"/>
    </font>
    <font>
      <b/>
      <u val="single"/>
      <sz val="10"/>
      <color indexed="14"/>
      <name val="Arial Narrow"/>
      <family val="2"/>
    </font>
    <font>
      <sz val="5"/>
      <color indexed="55"/>
      <name val="Arial Narrow"/>
      <family val="2"/>
    </font>
    <font>
      <i/>
      <sz val="7.5"/>
      <name val="Arial Narrow"/>
      <family val="2"/>
    </font>
    <font>
      <b/>
      <sz val="12"/>
      <name val="Arial Narrow"/>
      <family val="2"/>
    </font>
    <font>
      <b/>
      <sz val="16"/>
      <name val="Symbol"/>
      <family val="1"/>
    </font>
    <font>
      <sz val="2"/>
      <name val="Arial Narrow"/>
      <family val="2"/>
    </font>
    <font>
      <sz val="12"/>
      <name val="Arial Narrow"/>
      <family val="2"/>
    </font>
    <font>
      <sz val="8"/>
      <color indexed="10"/>
      <name val="Arial Narrow"/>
      <family val="2"/>
    </font>
    <font>
      <b/>
      <sz val="8"/>
      <color indexed="17"/>
      <name val="Arial Narrow"/>
      <family val="2"/>
    </font>
    <font>
      <sz val="7"/>
      <color indexed="21"/>
      <name val="Arial Narrow"/>
      <family val="2"/>
    </font>
    <font>
      <sz val="8"/>
      <color indexed="21"/>
      <name val="Arial Narrow"/>
      <family val="2"/>
    </font>
    <font>
      <u val="single"/>
      <sz val="10"/>
      <color indexed="21"/>
      <name val="Arial Narrow"/>
      <family val="0"/>
    </font>
    <font>
      <sz val="5"/>
      <color indexed="21"/>
      <name val="MS Sans Serif"/>
      <family val="0"/>
    </font>
    <font>
      <sz val="12"/>
      <name val="Times New Roman"/>
      <family val="1"/>
    </font>
    <font>
      <sz val="7"/>
      <color indexed="55"/>
      <name val="Arial Narrow"/>
      <family val="2"/>
    </font>
    <font>
      <sz val="8"/>
      <color indexed="55"/>
      <name val="Arial Narrow"/>
      <family val="2"/>
    </font>
    <font>
      <u val="single"/>
      <sz val="7"/>
      <name val="Arial Narrow"/>
      <family val="2"/>
    </font>
    <font>
      <sz val="7"/>
      <color indexed="43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sz val="12"/>
      <color indexed="12"/>
      <name val="Arial Narrow"/>
      <family val="2"/>
    </font>
    <font>
      <sz val="6"/>
      <color indexed="9"/>
      <name val="Arial Narrow"/>
      <family val="2"/>
    </font>
    <font>
      <sz val="9"/>
      <name val="Arial Narrow"/>
      <family val="2"/>
    </font>
    <font>
      <b/>
      <sz val="10"/>
      <name val="Times New Roman"/>
      <family val="1"/>
    </font>
    <font>
      <u val="single"/>
      <sz val="6"/>
      <color indexed="12"/>
      <name val="Arial Narrow"/>
      <family val="0"/>
    </font>
    <font>
      <sz val="3"/>
      <color indexed="55"/>
      <name val="Arial Narrow"/>
      <family val="2"/>
    </font>
    <font>
      <sz val="7"/>
      <color indexed="22"/>
      <name val="Arial Narrow"/>
      <family val="2"/>
    </font>
    <font>
      <sz val="6"/>
      <color indexed="22"/>
      <name val="Arial Narrow"/>
      <family val="2"/>
    </font>
    <font>
      <u val="single"/>
      <sz val="8"/>
      <color indexed="22"/>
      <name val="Arial Narrow"/>
      <family val="2"/>
    </font>
    <font>
      <u val="single"/>
      <sz val="7"/>
      <color indexed="22"/>
      <name val="Arial Narrow"/>
      <family val="2"/>
    </font>
    <font>
      <u val="single"/>
      <sz val="6"/>
      <color indexed="22"/>
      <name val="Arial Narrow"/>
      <family val="2"/>
    </font>
    <font>
      <strike/>
      <sz val="8"/>
      <color indexed="22"/>
      <name val="Arial Narrow"/>
      <family val="2"/>
    </font>
    <font>
      <strike/>
      <sz val="7"/>
      <color indexed="22"/>
      <name val="Arial Narrow"/>
      <family val="2"/>
    </font>
    <font>
      <sz val="8"/>
      <color indexed="18"/>
      <name val="Arial Narrow"/>
      <family val="2"/>
    </font>
    <font>
      <b/>
      <sz val="9"/>
      <name val="Times New Roman"/>
      <family val="1"/>
    </font>
    <font>
      <i/>
      <sz val="9"/>
      <name val="Arial"/>
      <family val="2"/>
    </font>
    <font>
      <b/>
      <sz val="8"/>
      <color indexed="43"/>
      <name val="Arial Narrow"/>
      <family val="2"/>
    </font>
    <font>
      <b/>
      <u val="single"/>
      <sz val="10"/>
      <color indexed="10"/>
      <name val="Arial Narrow"/>
      <family val="2"/>
    </font>
    <font>
      <i/>
      <sz val="8"/>
      <color indexed="12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b/>
      <sz val="8"/>
      <color indexed="10"/>
      <name val="Wingdings"/>
      <family val="0"/>
    </font>
    <font>
      <b/>
      <sz val="16"/>
      <name val="Arial Narrow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color indexed="12"/>
      <name val="Tahoma"/>
      <family val="2"/>
    </font>
    <font>
      <sz val="8"/>
      <color indexed="12"/>
      <name val="Tahoma"/>
      <family val="2"/>
    </font>
    <font>
      <b/>
      <u val="single"/>
      <sz val="9"/>
      <color indexed="12"/>
      <name val="Arial Narrow"/>
      <family val="2"/>
    </font>
    <font>
      <b/>
      <u val="single"/>
      <sz val="9"/>
      <color indexed="10"/>
      <name val="Wingdings"/>
      <family val="0"/>
    </font>
    <font>
      <sz val="9"/>
      <name val="Comic Sans MS"/>
      <family val="4"/>
    </font>
    <font>
      <b/>
      <sz val="9"/>
      <name val="Comic Sans MS"/>
      <family val="4"/>
    </font>
    <font>
      <b/>
      <sz val="9"/>
      <color indexed="21"/>
      <name val="Comic Sans MS"/>
      <family val="4"/>
    </font>
    <font>
      <sz val="9"/>
      <color indexed="21"/>
      <name val="Comic Sans MS"/>
      <family val="4"/>
    </font>
    <font>
      <b/>
      <u val="single"/>
      <sz val="9"/>
      <color indexed="12"/>
      <name val="Comic Sans MS"/>
      <family val="4"/>
    </font>
    <font>
      <i/>
      <sz val="7"/>
      <name val="Comic Sans MS"/>
      <family val="4"/>
    </font>
    <font>
      <i/>
      <sz val="10"/>
      <name val="Arial Narrow"/>
      <family val="2"/>
    </font>
    <font>
      <sz val="9"/>
      <color indexed="12"/>
      <name val="Arial Narrow"/>
      <family val="2"/>
    </font>
    <font>
      <sz val="6"/>
      <color indexed="21"/>
      <name val="Arial Narrow"/>
      <family val="2"/>
    </font>
    <font>
      <u val="single"/>
      <sz val="8"/>
      <color indexed="21"/>
      <name val="Arial Narrow"/>
      <family val="0"/>
    </font>
    <font>
      <b/>
      <sz val="14"/>
      <color indexed="10"/>
      <name val="Arial Narrow"/>
      <family val="2"/>
    </font>
    <font>
      <b/>
      <sz val="8"/>
      <color indexed="22"/>
      <name val="Arial Narrow"/>
      <family val="2"/>
    </font>
    <font>
      <b/>
      <sz val="8"/>
      <color indexed="10"/>
      <name val="Arial Narrow"/>
      <family val="2"/>
    </font>
    <font>
      <b/>
      <sz val="8"/>
      <color indexed="10"/>
      <name val="Garamond"/>
      <family val="1"/>
    </font>
    <font>
      <sz val="9"/>
      <color indexed="10"/>
      <name val="Arial"/>
      <family val="2"/>
    </font>
    <font>
      <sz val="8"/>
      <color indexed="40"/>
      <name val="Arial Narrow"/>
      <family val="2"/>
    </font>
    <font>
      <sz val="10"/>
      <color indexed="12"/>
      <name val="Arial Narrow"/>
      <family val="2"/>
    </font>
    <font>
      <b/>
      <strike/>
      <sz val="8"/>
      <color indexed="10"/>
      <name val="Arial"/>
      <family val="2"/>
    </font>
    <font>
      <strike/>
      <sz val="8"/>
      <name val="Arial Narrow"/>
      <family val="2"/>
    </font>
    <font>
      <strike/>
      <sz val="7"/>
      <name val="Arial Narrow"/>
      <family val="2"/>
    </font>
    <font>
      <strike/>
      <sz val="6"/>
      <name val="Arial Narrow"/>
      <family val="2"/>
    </font>
    <font>
      <b/>
      <strike/>
      <sz val="10"/>
      <name val="Arial Narrow"/>
      <family val="2"/>
    </font>
    <font>
      <b/>
      <u val="single"/>
      <sz val="9"/>
      <color indexed="40"/>
      <name val="Arial Narrow"/>
      <family val="2"/>
    </font>
    <font>
      <b/>
      <u val="single"/>
      <sz val="16"/>
      <color indexed="40"/>
      <name val="Arial Narrow"/>
      <family val="2"/>
    </font>
    <font>
      <u val="single"/>
      <sz val="10"/>
      <color indexed="40"/>
      <name val="Arial Narrow"/>
      <family val="2"/>
    </font>
    <font>
      <b/>
      <strike/>
      <sz val="8"/>
      <color indexed="10"/>
      <name val="Arial Narrow"/>
      <family val="2"/>
    </font>
    <font>
      <b/>
      <sz val="9"/>
      <color indexed="55"/>
      <name val="Arial Narrow"/>
      <family val="2"/>
    </font>
    <font>
      <b/>
      <sz val="14"/>
      <color indexed="55"/>
      <name val="Arial Narrow"/>
      <family val="2"/>
    </font>
    <font>
      <strike/>
      <sz val="8"/>
      <color indexed="55"/>
      <name val="Arial Narrow"/>
      <family val="2"/>
    </font>
    <font>
      <strike/>
      <sz val="7"/>
      <color indexed="55"/>
      <name val="Arial Narrow"/>
      <family val="2"/>
    </font>
    <font>
      <strike/>
      <sz val="6"/>
      <color indexed="55"/>
      <name val="Arial Narrow"/>
      <family val="2"/>
    </font>
    <font>
      <b/>
      <strike/>
      <sz val="10"/>
      <color indexed="55"/>
      <name val="Arial Narrow"/>
      <family val="2"/>
    </font>
    <font>
      <i/>
      <sz val="8"/>
      <color indexed="21"/>
      <name val="Arial Narrow"/>
      <family val="2"/>
    </font>
    <font>
      <i/>
      <sz val="8"/>
      <color indexed="12"/>
      <name val="Arial Narrow"/>
      <family val="2"/>
    </font>
    <font>
      <i/>
      <sz val="8"/>
      <color indexed="53"/>
      <name val="Arial Narrow"/>
      <family val="2"/>
    </font>
    <font>
      <b/>
      <sz val="11"/>
      <color indexed="9"/>
      <name val="Arial Narrow"/>
      <family val="2"/>
    </font>
    <font>
      <b/>
      <sz val="10"/>
      <color indexed="9"/>
      <name val="Arial Narrow"/>
      <family val="2"/>
    </font>
    <font>
      <b/>
      <sz val="6"/>
      <color indexed="22"/>
      <name val="Arial Narrow"/>
      <family val="2"/>
    </font>
    <font>
      <b/>
      <sz val="8"/>
      <color indexed="55"/>
      <name val="Arial Narrow"/>
      <family val="2"/>
    </font>
    <font>
      <sz val="4"/>
      <color indexed="22"/>
      <name val="Arial Narrow"/>
      <family val="2"/>
    </font>
    <font>
      <b/>
      <sz val="4"/>
      <color indexed="22"/>
      <name val="Arial Narrow"/>
      <family val="2"/>
    </font>
    <font>
      <b/>
      <sz val="10"/>
      <color indexed="10"/>
      <name val="Arial Narrow"/>
      <family val="2"/>
    </font>
    <font>
      <b/>
      <sz val="10"/>
      <color indexed="23"/>
      <name val="Arial Narrow"/>
      <family val="2"/>
    </font>
    <font>
      <b/>
      <sz val="8"/>
      <name val="Symbol"/>
      <family val="1"/>
    </font>
    <font>
      <b/>
      <u val="single"/>
      <sz val="7"/>
      <name val="Arial Narrow"/>
      <family val="2"/>
    </font>
    <font>
      <b/>
      <sz val="12"/>
      <color indexed="10"/>
      <name val="Arial Narrow"/>
      <family val="2"/>
    </font>
    <font>
      <u val="single"/>
      <sz val="10"/>
      <name val="Arial Narrow"/>
      <family val="2"/>
    </font>
    <font>
      <b/>
      <u val="single"/>
      <sz val="8"/>
      <color indexed="22"/>
      <name val="Arial Narrow"/>
      <family val="2"/>
    </font>
    <font>
      <strike/>
      <sz val="6"/>
      <color indexed="22"/>
      <name val="Arial Narrow"/>
      <family val="2"/>
    </font>
    <font>
      <b/>
      <sz val="12"/>
      <color indexed="63"/>
      <name val="Comic Sans MS"/>
      <family val="4"/>
    </font>
    <font>
      <b/>
      <sz val="8"/>
      <color indexed="9"/>
      <name val="Arial"/>
      <family val="2"/>
    </font>
    <font>
      <b/>
      <sz val="11"/>
      <color indexed="21"/>
      <name val="Arial"/>
      <family val="2"/>
    </font>
    <font>
      <u val="single"/>
      <sz val="8"/>
      <color indexed="9"/>
      <name val="Arial Narrow"/>
      <family val="2"/>
    </font>
    <font>
      <u val="single"/>
      <sz val="10"/>
      <color indexed="9"/>
      <name val="Arial Narrow"/>
      <family val="2"/>
    </font>
    <font>
      <sz val="7.5"/>
      <color indexed="9"/>
      <name val="Arial Narrow"/>
      <family val="2"/>
    </font>
    <font>
      <b/>
      <sz val="12"/>
      <color indexed="9"/>
      <name val="Arial Narrow"/>
      <family val="2"/>
    </font>
    <font>
      <b/>
      <sz val="14"/>
      <color indexed="9"/>
      <name val="Arial Narrow"/>
      <family val="2"/>
    </font>
    <font>
      <b/>
      <i/>
      <sz val="8"/>
      <color indexed="14"/>
      <name val="Arial Narrow"/>
      <family val="2"/>
    </font>
    <font>
      <sz val="7"/>
      <color indexed="14"/>
      <name val="Arial Narrow"/>
      <family val="2"/>
    </font>
    <font>
      <b/>
      <sz val="10"/>
      <color indexed="14"/>
      <name val="Arial Narrow"/>
      <family val="2"/>
    </font>
    <font>
      <b/>
      <sz val="11"/>
      <color indexed="14"/>
      <name val="Arial Narrow"/>
      <family val="2"/>
    </font>
    <font>
      <b/>
      <sz val="9"/>
      <color indexed="14"/>
      <name val="Arial Narrow"/>
      <family val="2"/>
    </font>
    <font>
      <b/>
      <i/>
      <sz val="12"/>
      <color indexed="12"/>
      <name val="Arial"/>
      <family val="2"/>
    </font>
    <font>
      <b/>
      <u val="single"/>
      <sz val="10"/>
      <color indexed="9"/>
      <name val="Arial Narrow"/>
      <family val="2"/>
    </font>
    <font>
      <i/>
      <sz val="9"/>
      <color indexed="21"/>
      <name val="Comic Sans MS"/>
      <family val="4"/>
    </font>
    <font>
      <b/>
      <sz val="8"/>
      <name val="MS Sans Serif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47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164" fontId="3" fillId="0" borderId="0" xfId="0" applyNumberFormat="1" applyFont="1" applyAlignment="1">
      <alignment vertical="center" shrinkToFit="1"/>
    </xf>
    <xf numFmtId="164" fontId="3" fillId="0" borderId="0" xfId="0" applyNumberFormat="1" applyFont="1" applyAlignment="1">
      <alignment vertical="center"/>
    </xf>
    <xf numFmtId="0" fontId="3" fillId="2" borderId="0" xfId="0" applyFont="1" applyFill="1" applyAlignment="1">
      <alignment vertical="center"/>
    </xf>
    <xf numFmtId="0" fontId="3" fillId="0" borderId="0" xfId="0" applyFont="1" applyAlignment="1">
      <alignment vertical="center" shrinkToFit="1"/>
    </xf>
    <xf numFmtId="0" fontId="5" fillId="0" borderId="0" xfId="0" applyFont="1" applyBorder="1" applyAlignment="1">
      <alignment vertical="center"/>
    </xf>
    <xf numFmtId="164" fontId="3" fillId="0" borderId="0" xfId="0" applyNumberFormat="1" applyFont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164" fontId="3" fillId="2" borderId="0" xfId="0" applyNumberFormat="1" applyFont="1" applyFill="1" applyAlignment="1">
      <alignment vertical="center"/>
    </xf>
    <xf numFmtId="0" fontId="5" fillId="0" borderId="0" xfId="0" applyFont="1" applyAlignment="1">
      <alignment horizontal="center" vertical="top"/>
    </xf>
    <xf numFmtId="164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164" fontId="3" fillId="0" borderId="0" xfId="0" applyNumberFormat="1" applyFont="1" applyAlignment="1">
      <alignment horizontal="right" vertical="top"/>
    </xf>
    <xf numFmtId="0" fontId="3" fillId="2" borderId="0" xfId="0" applyFont="1" applyFill="1" applyAlignment="1">
      <alignment vertical="top"/>
    </xf>
    <xf numFmtId="164" fontId="3" fillId="0" borderId="0" xfId="0" applyNumberFormat="1" applyFont="1" applyAlignment="1">
      <alignment horizontal="right" vertical="center" shrinkToFit="1"/>
    </xf>
    <xf numFmtId="0" fontId="5" fillId="0" borderId="0" xfId="0" applyFont="1" applyFill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3" fillId="2" borderId="0" xfId="0" applyFont="1" applyFill="1" applyAlignment="1">
      <alignment/>
    </xf>
    <xf numFmtId="164" fontId="3" fillId="0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 horizontal="right" vertical="center"/>
    </xf>
    <xf numFmtId="0" fontId="3" fillId="3" borderId="0" xfId="0" applyFont="1" applyFill="1" applyAlignment="1">
      <alignment vertical="center"/>
    </xf>
    <xf numFmtId="0" fontId="5" fillId="3" borderId="0" xfId="0" applyFont="1" applyFill="1" applyAlignment="1">
      <alignment horizontal="center" vertical="center"/>
    </xf>
    <xf numFmtId="164" fontId="3" fillId="3" borderId="0" xfId="0" applyNumberFormat="1" applyFont="1" applyFill="1" applyAlignment="1">
      <alignment vertical="center"/>
    </xf>
    <xf numFmtId="164" fontId="3" fillId="3" borderId="0" xfId="0" applyNumberFormat="1" applyFont="1" applyFill="1" applyAlignment="1">
      <alignment horizontal="right" vertic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25" fillId="0" borderId="0" xfId="0" applyFont="1" applyAlignment="1">
      <alignment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 shrinkToFit="1"/>
    </xf>
    <xf numFmtId="0" fontId="16" fillId="0" borderId="0" xfId="0" applyFont="1" applyAlignment="1">
      <alignment vertical="center"/>
    </xf>
    <xf numFmtId="0" fontId="5" fillId="3" borderId="0" xfId="0" applyFont="1" applyFill="1" applyAlignment="1">
      <alignment vertical="center"/>
    </xf>
    <xf numFmtId="0" fontId="5" fillId="3" borderId="0" xfId="0" applyFont="1" applyFill="1" applyAlignment="1">
      <alignment horizontal="center" vertical="center" shrinkToFit="1"/>
    </xf>
    <xf numFmtId="0" fontId="26" fillId="0" borderId="0" xfId="0" applyFont="1" applyAlignment="1">
      <alignment/>
    </xf>
    <xf numFmtId="0" fontId="16" fillId="0" borderId="0" xfId="0" applyFont="1" applyAlignment="1">
      <alignment/>
    </xf>
    <xf numFmtId="164" fontId="3" fillId="0" borderId="0" xfId="0" applyNumberFormat="1" applyFont="1" applyBorder="1" applyAlignment="1">
      <alignment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 shrinkToFit="1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 vertical="top" shrinkToFit="1"/>
    </xf>
    <xf numFmtId="0" fontId="27" fillId="0" borderId="0" xfId="0" applyFont="1" applyAlignment="1">
      <alignment vertical="center"/>
    </xf>
    <xf numFmtId="0" fontId="27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3" fillId="0" borderId="0" xfId="0" applyFont="1" applyAlignment="1">
      <alignment horizontal="center" vertical="center" shrinkToFit="1"/>
    </xf>
    <xf numFmtId="0" fontId="3" fillId="2" borderId="0" xfId="0" applyFont="1" applyFill="1" applyAlignment="1">
      <alignment horizontal="center" vertical="center" shrinkToFit="1"/>
    </xf>
    <xf numFmtId="0" fontId="3" fillId="3" borderId="0" xfId="0" applyFont="1" applyFill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top" shrinkToFit="1"/>
    </xf>
    <xf numFmtId="0" fontId="3" fillId="0" borderId="0" xfId="0" applyFont="1" applyFill="1" applyAlignment="1">
      <alignment horizontal="center" vertical="center" shrinkToFit="1"/>
    </xf>
    <xf numFmtId="0" fontId="24" fillId="0" borderId="0" xfId="0" applyFont="1" applyAlignment="1">
      <alignment vertical="center"/>
    </xf>
    <xf numFmtId="0" fontId="24" fillId="0" borderId="0" xfId="0" applyFont="1" applyFill="1" applyAlignment="1">
      <alignment vertical="center"/>
    </xf>
    <xf numFmtId="0" fontId="5" fillId="0" borderId="1" xfId="0" applyFont="1" applyBorder="1" applyAlignment="1" applyProtection="1">
      <alignment/>
      <protection locked="0"/>
    </xf>
    <xf numFmtId="0" fontId="24" fillId="2" borderId="0" xfId="0" applyFont="1" applyFill="1" applyAlignment="1">
      <alignment vertical="center"/>
    </xf>
    <xf numFmtId="0" fontId="24" fillId="0" borderId="0" xfId="0" applyFont="1" applyBorder="1" applyAlignment="1">
      <alignment vertical="center"/>
    </xf>
    <xf numFmtId="0" fontId="24" fillId="3" borderId="0" xfId="0" applyFont="1" applyFill="1" applyAlignment="1">
      <alignment vertical="center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shrinkToFit="1"/>
      <protection locked="0"/>
    </xf>
    <xf numFmtId="164" fontId="5" fillId="0" borderId="0" xfId="0" applyNumberFormat="1" applyFont="1" applyBorder="1" applyAlignment="1" applyProtection="1">
      <alignment horizontal="left"/>
      <protection locked="0"/>
    </xf>
    <xf numFmtId="0" fontId="5" fillId="0" borderId="0" xfId="0" applyFont="1" applyAlignment="1">
      <alignment/>
    </xf>
    <xf numFmtId="0" fontId="5" fillId="0" borderId="0" xfId="0" applyFont="1" applyAlignment="1">
      <alignment horizontal="center" shrinkToFit="1"/>
    </xf>
    <xf numFmtId="164" fontId="5" fillId="0" borderId="0" xfId="0" applyNumberFormat="1" applyFont="1" applyAlignment="1">
      <alignment/>
    </xf>
    <xf numFmtId="0" fontId="24" fillId="0" borderId="0" xfId="0" applyFont="1" applyAlignment="1">
      <alignment/>
    </xf>
    <xf numFmtId="0" fontId="3" fillId="2" borderId="0" xfId="0" applyFont="1" applyFill="1" applyBorder="1" applyAlignment="1">
      <alignment/>
    </xf>
    <xf numFmtId="0" fontId="24" fillId="0" borderId="0" xfId="0" applyFont="1" applyBorder="1" applyAlignment="1">
      <alignment/>
    </xf>
    <xf numFmtId="0" fontId="53" fillId="0" borderId="1" xfId="0" applyFont="1" applyBorder="1" applyAlignment="1">
      <alignment horizontal="left"/>
    </xf>
    <xf numFmtId="0" fontId="53" fillId="0" borderId="0" xfId="0" applyFont="1" applyBorder="1" applyAlignment="1">
      <alignment horizontal="left"/>
    </xf>
    <xf numFmtId="0" fontId="53" fillId="0" borderId="0" xfId="0" applyFont="1" applyBorder="1" applyAlignment="1">
      <alignment horizontal="left" shrinkToFit="1"/>
    </xf>
    <xf numFmtId="0" fontId="53" fillId="0" borderId="0" xfId="0" applyFont="1" applyAlignment="1">
      <alignment horizontal="left"/>
    </xf>
    <xf numFmtId="0" fontId="53" fillId="0" borderId="0" xfId="0" applyFont="1" applyAlignment="1">
      <alignment horizontal="left" shrinkToFit="1"/>
    </xf>
    <xf numFmtId="164" fontId="53" fillId="0" borderId="1" xfId="0" applyNumberFormat="1" applyFont="1" applyBorder="1" applyAlignment="1">
      <alignment horizontal="left"/>
    </xf>
    <xf numFmtId="164" fontId="53" fillId="0" borderId="0" xfId="0" applyNumberFormat="1" applyFont="1" applyBorder="1" applyAlignment="1">
      <alignment horizontal="left"/>
    </xf>
    <xf numFmtId="164" fontId="53" fillId="0" borderId="0" xfId="0" applyNumberFormat="1" applyFont="1" applyAlignment="1">
      <alignment horizontal="left"/>
    </xf>
    <xf numFmtId="0" fontId="52" fillId="0" borderId="0" xfId="0" applyFont="1" applyAlignment="1">
      <alignment vertical="center"/>
    </xf>
    <xf numFmtId="0" fontId="52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/>
    </xf>
    <xf numFmtId="0" fontId="4" fillId="0" borderId="0" xfId="0" applyFont="1" applyAlignment="1">
      <alignment vertical="top"/>
    </xf>
    <xf numFmtId="0" fontId="52" fillId="2" borderId="0" xfId="0" applyFont="1" applyFill="1" applyAlignment="1">
      <alignment vertical="center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 shrinkToFit="1"/>
    </xf>
    <xf numFmtId="164" fontId="52" fillId="0" borderId="0" xfId="0" applyNumberFormat="1" applyFont="1" applyAlignment="1">
      <alignment vertical="center"/>
    </xf>
    <xf numFmtId="164" fontId="52" fillId="0" borderId="0" xfId="0" applyNumberFormat="1" applyFont="1" applyAlignment="1">
      <alignment horizontal="right" vertical="center"/>
    </xf>
    <xf numFmtId="0" fontId="54" fillId="2" borderId="0" xfId="0" applyFont="1" applyFill="1" applyAlignment="1">
      <alignment vertical="center"/>
    </xf>
    <xf numFmtId="0" fontId="54" fillId="0" borderId="0" xfId="0" applyFont="1" applyAlignment="1">
      <alignment vertical="center"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 shrinkToFit="1"/>
    </xf>
    <xf numFmtId="164" fontId="54" fillId="0" borderId="0" xfId="0" applyNumberFormat="1" applyFont="1" applyAlignment="1">
      <alignment vertical="center"/>
    </xf>
    <xf numFmtId="164" fontId="54" fillId="0" borderId="0" xfId="0" applyNumberFormat="1" applyFont="1" applyAlignment="1">
      <alignment horizontal="right" vertical="center"/>
    </xf>
    <xf numFmtId="0" fontId="36" fillId="0" borderId="0" xfId="0" applyFont="1" applyAlignment="1">
      <alignment vertical="top"/>
    </xf>
    <xf numFmtId="172" fontId="3" fillId="0" borderId="0" xfId="0" applyNumberFormat="1" applyFont="1" applyAlignment="1">
      <alignment vertical="center" shrinkToFit="1"/>
    </xf>
    <xf numFmtId="172" fontId="3" fillId="0" borderId="0" xfId="0" applyNumberFormat="1" applyFont="1" applyAlignment="1">
      <alignment vertical="center"/>
    </xf>
    <xf numFmtId="172" fontId="3" fillId="3" borderId="0" xfId="0" applyNumberFormat="1" applyFont="1" applyFill="1" applyAlignment="1">
      <alignment vertical="center"/>
    </xf>
    <xf numFmtId="172" fontId="3" fillId="0" borderId="0" xfId="0" applyNumberFormat="1" applyFont="1" applyAlignment="1">
      <alignment/>
    </xf>
    <xf numFmtId="172" fontId="52" fillId="0" borderId="0" xfId="0" applyNumberFormat="1" applyFont="1" applyAlignment="1">
      <alignment vertical="center"/>
    </xf>
    <xf numFmtId="172" fontId="54" fillId="0" borderId="0" xfId="0" applyNumberFormat="1" applyFont="1" applyAlignment="1">
      <alignment vertical="center"/>
    </xf>
    <xf numFmtId="172" fontId="3" fillId="0" borderId="0" xfId="0" applyNumberFormat="1" applyFont="1" applyAlignment="1">
      <alignment vertical="top"/>
    </xf>
    <xf numFmtId="172" fontId="3" fillId="0" borderId="0" xfId="0" applyNumberFormat="1" applyFont="1" applyFill="1" applyAlignment="1">
      <alignment vertical="center"/>
    </xf>
    <xf numFmtId="0" fontId="27" fillId="0" borderId="0" xfId="0" applyFont="1" applyAlignment="1">
      <alignment horizontal="left" vertical="center"/>
    </xf>
    <xf numFmtId="0" fontId="65" fillId="2" borderId="0" xfId="0" applyFont="1" applyFill="1" applyAlignment="1">
      <alignment horizontal="center" vertical="center"/>
    </xf>
    <xf numFmtId="0" fontId="70" fillId="2" borderId="0" xfId="0" applyFont="1" applyFill="1" applyAlignment="1">
      <alignment vertical="center"/>
    </xf>
    <xf numFmtId="0" fontId="71" fillId="2" borderId="0" xfId="0" applyFont="1" applyFill="1" applyAlignment="1">
      <alignment vertical="center"/>
    </xf>
    <xf numFmtId="0" fontId="70" fillId="2" borderId="0" xfId="0" applyFont="1" applyFill="1" applyAlignment="1">
      <alignment horizontal="center" vertical="center"/>
    </xf>
    <xf numFmtId="164" fontId="47" fillId="2" borderId="0" xfId="0" applyNumberFormat="1" applyFont="1" applyFill="1" applyAlignment="1">
      <alignment vertical="center"/>
    </xf>
    <xf numFmtId="0" fontId="72" fillId="2" borderId="0" xfId="17" applyFont="1" applyFill="1" applyAlignment="1">
      <alignment/>
    </xf>
    <xf numFmtId="0" fontId="71" fillId="2" borderId="0" xfId="0" applyFont="1" applyFill="1" applyAlignment="1">
      <alignment horizontal="center" vertical="center" shrinkToFit="1"/>
    </xf>
    <xf numFmtId="164" fontId="71" fillId="2" borderId="0" xfId="0" applyNumberFormat="1" applyFont="1" applyFill="1" applyAlignment="1">
      <alignment horizontal="right" vertical="center"/>
    </xf>
    <xf numFmtId="0" fontId="73" fillId="2" borderId="0" xfId="0" applyFont="1" applyFill="1" applyAlignment="1" quotePrefix="1">
      <alignment/>
    </xf>
    <xf numFmtId="0" fontId="73" fillId="2" borderId="0" xfId="0" applyFont="1" applyFill="1" applyAlignment="1">
      <alignment/>
    </xf>
    <xf numFmtId="0" fontId="3" fillId="2" borderId="0" xfId="0" applyFont="1" applyFill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 shrinkToFit="1"/>
    </xf>
    <xf numFmtId="0" fontId="7" fillId="0" borderId="0" xfId="17" applyAlignment="1">
      <alignment horizontal="right" vertical="center"/>
    </xf>
    <xf numFmtId="0" fontId="3" fillId="0" borderId="0" xfId="0" applyFont="1" applyAlignment="1">
      <alignment horizontal="right" vertical="center" shrinkToFit="1"/>
    </xf>
    <xf numFmtId="172" fontId="3" fillId="0" borderId="0" xfId="0" applyNumberFormat="1" applyFont="1" applyAlignment="1">
      <alignment horizontal="right" vertical="center"/>
    </xf>
    <xf numFmtId="0" fontId="10" fillId="2" borderId="0" xfId="0" applyFont="1" applyFill="1" applyAlignment="1">
      <alignment vertical="center"/>
    </xf>
    <xf numFmtId="0" fontId="44" fillId="0" borderId="0" xfId="0" applyFont="1" applyAlignment="1">
      <alignment horizontal="center" vertical="top"/>
    </xf>
    <xf numFmtId="164" fontId="7" fillId="0" borderId="0" xfId="17" applyNumberFormat="1" applyAlignment="1">
      <alignment horizontal="center" vertical="top"/>
    </xf>
    <xf numFmtId="164" fontId="3" fillId="0" borderId="0" xfId="0" applyNumberFormat="1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7" fillId="0" borderId="0" xfId="17" applyAlignment="1">
      <alignment/>
    </xf>
    <xf numFmtId="0" fontId="2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shrinkToFit="1"/>
    </xf>
    <xf numFmtId="164" fontId="3" fillId="0" borderId="0" xfId="0" applyNumberFormat="1" applyFont="1" applyFill="1" applyBorder="1" applyAlignment="1">
      <alignment horizontal="right" vertical="center"/>
    </xf>
    <xf numFmtId="0" fontId="66" fillId="0" borderId="0" xfId="0" applyFont="1" applyFill="1" applyAlignment="1">
      <alignment vertical="center" shrinkToFit="1"/>
    </xf>
    <xf numFmtId="0" fontId="3" fillId="0" borderId="0" xfId="0" applyFont="1" applyFill="1" applyAlignment="1">
      <alignment vertical="center" shrinkToFit="1"/>
    </xf>
    <xf numFmtId="0" fontId="35" fillId="0" borderId="0" xfId="0" applyFont="1" applyFill="1" applyAlignment="1">
      <alignment vertical="center" shrinkToFit="1"/>
    </xf>
    <xf numFmtId="0" fontId="19" fillId="0" borderId="0" xfId="0" applyFont="1" applyFill="1" applyAlignment="1">
      <alignment vertical="center" shrinkToFit="1"/>
    </xf>
    <xf numFmtId="0" fontId="35" fillId="0" borderId="0" xfId="0" applyFont="1" applyFill="1" applyAlignment="1">
      <alignment horizontal="center" vertical="center" shrinkToFit="1"/>
    </xf>
    <xf numFmtId="164" fontId="19" fillId="0" borderId="0" xfId="0" applyNumberFormat="1" applyFont="1" applyFill="1" applyAlignment="1">
      <alignment vertical="center" shrinkToFit="1"/>
    </xf>
    <xf numFmtId="0" fontId="83" fillId="0" borderId="0" xfId="0" applyFont="1" applyFill="1" applyAlignment="1">
      <alignment vertical="center" shrinkToFit="1"/>
    </xf>
    <xf numFmtId="0" fontId="19" fillId="0" borderId="0" xfId="0" applyFont="1" applyFill="1" applyAlignment="1">
      <alignment horizontal="center" vertical="center" shrinkToFit="1"/>
    </xf>
    <xf numFmtId="172" fontId="19" fillId="0" borderId="0" xfId="0" applyNumberFormat="1" applyFont="1" applyFill="1" applyAlignment="1">
      <alignment vertical="center" shrinkToFit="1"/>
    </xf>
    <xf numFmtId="164" fontId="19" fillId="0" borderId="0" xfId="0" applyNumberFormat="1" applyFont="1" applyFill="1" applyAlignment="1">
      <alignment horizontal="right" vertical="center" shrinkToFit="1"/>
    </xf>
    <xf numFmtId="168" fontId="19" fillId="0" borderId="0" xfId="0" applyNumberFormat="1" applyFont="1" applyFill="1" applyAlignment="1">
      <alignment vertical="center" shrinkToFit="1"/>
    </xf>
    <xf numFmtId="0" fontId="36" fillId="0" borderId="0" xfId="0" applyFont="1" applyFill="1" applyBorder="1" applyAlignment="1">
      <alignment vertical="top"/>
    </xf>
    <xf numFmtId="172" fontId="3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9" fontId="8" fillId="2" borderId="0" xfId="0" applyNumberFormat="1" applyFont="1" applyFill="1" applyAlignment="1">
      <alignment vertical="center" shrinkToFit="1"/>
    </xf>
    <xf numFmtId="164" fontId="3" fillId="2" borderId="0" xfId="0" applyNumberFormat="1" applyFont="1" applyFill="1" applyAlignment="1">
      <alignment horizontal="right" vertical="center" shrinkToFit="1"/>
    </xf>
    <xf numFmtId="164" fontId="4" fillId="2" borderId="0" xfId="0" applyNumberFormat="1" applyFont="1" applyFill="1" applyAlignment="1">
      <alignment vertical="center" shrinkToFit="1"/>
    </xf>
    <xf numFmtId="0" fontId="16" fillId="2" borderId="0" xfId="0" applyFont="1" applyFill="1" applyAlignment="1">
      <alignment/>
    </xf>
    <xf numFmtId="0" fontId="27" fillId="0" borderId="0" xfId="0" applyFont="1" applyAlignment="1">
      <alignment/>
    </xf>
    <xf numFmtId="0" fontId="16" fillId="2" borderId="0" xfId="0" applyFont="1" applyFill="1" applyAlignment="1">
      <alignment vertical="center"/>
    </xf>
    <xf numFmtId="0" fontId="16" fillId="2" borderId="0" xfId="0" applyFont="1" applyFill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85" fillId="0" borderId="0" xfId="0" applyFont="1" applyAlignment="1">
      <alignment/>
    </xf>
    <xf numFmtId="0" fontId="16" fillId="2" borderId="0" xfId="0" applyFont="1" applyFill="1" applyAlignment="1">
      <alignment vertical="top"/>
    </xf>
    <xf numFmtId="0" fontId="16" fillId="0" borderId="0" xfId="0" applyFont="1" applyAlignment="1">
      <alignment vertical="top"/>
    </xf>
    <xf numFmtId="0" fontId="3" fillId="0" borderId="1" xfId="0" applyFont="1" applyBorder="1" applyAlignment="1" applyProtection="1">
      <alignment horizontal="left" vertical="center"/>
      <protection locked="0"/>
    </xf>
    <xf numFmtId="172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4" fontId="3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164" fontId="3" fillId="0" borderId="0" xfId="0" applyNumberFormat="1" applyFont="1" applyAlignment="1">
      <alignment horizontal="left"/>
    </xf>
    <xf numFmtId="172" fontId="3" fillId="0" borderId="0" xfId="0" applyNumberFormat="1" applyFont="1" applyAlignment="1">
      <alignment horizontal="left"/>
    </xf>
    <xf numFmtId="0" fontId="3" fillId="0" borderId="2" xfId="0" applyFont="1" applyBorder="1" applyAlignment="1">
      <alignment/>
    </xf>
    <xf numFmtId="0" fontId="5" fillId="0" borderId="2" xfId="0" applyFont="1" applyBorder="1" applyAlignment="1">
      <alignment/>
    </xf>
    <xf numFmtId="164" fontId="3" fillId="0" borderId="0" xfId="0" applyNumberFormat="1" applyFont="1" applyAlignment="1">
      <alignment horizontal="right"/>
    </xf>
    <xf numFmtId="0" fontId="3" fillId="2" borderId="0" xfId="0" applyFont="1" applyFill="1" applyAlignment="1">
      <alignment vertical="center" shrinkToFit="1"/>
    </xf>
    <xf numFmtId="172" fontId="3" fillId="2" borderId="0" xfId="0" applyNumberFormat="1" applyFont="1" applyFill="1" applyAlignment="1">
      <alignment vertical="center" shrinkToFit="1"/>
    </xf>
    <xf numFmtId="164" fontId="3" fillId="2" borderId="0" xfId="0" applyNumberFormat="1" applyFont="1" applyFill="1" applyAlignment="1">
      <alignment vertical="center" shrinkToFit="1"/>
    </xf>
    <xf numFmtId="9" fontId="3" fillId="2" borderId="0" xfId="0" applyNumberFormat="1" applyFont="1" applyFill="1" applyAlignment="1">
      <alignment vertical="center" shrinkToFit="1"/>
    </xf>
    <xf numFmtId="9" fontId="3" fillId="0" borderId="0" xfId="0" applyNumberFormat="1" applyFont="1" applyAlignment="1">
      <alignment vertical="center" shrinkToFit="1"/>
    </xf>
    <xf numFmtId="164" fontId="5" fillId="0" borderId="0" xfId="0" applyNumberFormat="1" applyFont="1" applyAlignment="1">
      <alignment horizontal="center" vertical="center" shrinkToFit="1"/>
    </xf>
    <xf numFmtId="164" fontId="3" fillId="2" borderId="0" xfId="0" applyNumberFormat="1" applyFont="1" applyFill="1" applyAlignment="1">
      <alignment horizontal="center" vertical="center" shrinkToFit="1"/>
    </xf>
    <xf numFmtId="172" fontId="3" fillId="0" borderId="0" xfId="0" applyNumberFormat="1" applyFont="1" applyFill="1" applyAlignment="1">
      <alignment vertical="center" shrinkToFit="1"/>
    </xf>
    <xf numFmtId="164" fontId="3" fillId="0" borderId="0" xfId="0" applyNumberFormat="1" applyFont="1" applyFill="1" applyAlignment="1">
      <alignment horizontal="right" vertical="center" shrinkToFit="1"/>
    </xf>
    <xf numFmtId="164" fontId="3" fillId="0" borderId="0" xfId="0" applyNumberFormat="1" applyFont="1" applyFill="1" applyAlignment="1">
      <alignment vertical="center" shrinkToFit="1"/>
    </xf>
    <xf numFmtId="0" fontId="3" fillId="3" borderId="0" xfId="0" applyFont="1" applyFill="1" applyAlignment="1">
      <alignment vertical="center" shrinkToFit="1"/>
    </xf>
    <xf numFmtId="172" fontId="3" fillId="3" borderId="0" xfId="0" applyNumberFormat="1" applyFont="1" applyFill="1" applyAlignment="1">
      <alignment vertical="center" shrinkToFit="1"/>
    </xf>
    <xf numFmtId="164" fontId="3" fillId="3" borderId="0" xfId="0" applyNumberFormat="1" applyFont="1" applyFill="1" applyAlignment="1">
      <alignment horizontal="right" vertical="center" shrinkToFit="1"/>
    </xf>
    <xf numFmtId="164" fontId="3" fillId="3" borderId="0" xfId="0" applyNumberFormat="1" applyFont="1" applyFill="1" applyAlignment="1">
      <alignment vertical="center" shrinkToFit="1"/>
    </xf>
    <xf numFmtId="9" fontId="97" fillId="0" borderId="0" xfId="0" applyNumberFormat="1" applyFont="1" applyAlignment="1">
      <alignment vertical="top" shrinkToFit="1"/>
    </xf>
    <xf numFmtId="0" fontId="82" fillId="2" borderId="0" xfId="0" applyFont="1" applyFill="1" applyAlignment="1">
      <alignment vertical="center"/>
    </xf>
    <xf numFmtId="164" fontId="20" fillId="2" borderId="0" xfId="0" applyNumberFormat="1" applyFont="1" applyFill="1" applyAlignment="1">
      <alignment horizontal="right" vertical="center" shrinkToFit="1"/>
    </xf>
    <xf numFmtId="164" fontId="4" fillId="2" borderId="0" xfId="0" applyNumberFormat="1" applyFont="1" applyFill="1" applyAlignment="1">
      <alignment horizontal="right" vertical="center" shrinkToFit="1"/>
    </xf>
    <xf numFmtId="0" fontId="8" fillId="2" borderId="0" xfId="0" applyFont="1" applyFill="1" applyAlignment="1">
      <alignment horizontal="left" vertical="center"/>
    </xf>
    <xf numFmtId="0" fontId="80" fillId="0" borderId="0" xfId="0" applyFont="1" applyAlignment="1">
      <alignment/>
    </xf>
    <xf numFmtId="0" fontId="80" fillId="0" borderId="0" xfId="0" applyFont="1" applyAlignment="1">
      <alignment vertical="center"/>
    </xf>
    <xf numFmtId="0" fontId="80" fillId="0" borderId="0" xfId="0" applyFont="1" applyAlignment="1">
      <alignment horizontal="center" vertical="center"/>
    </xf>
    <xf numFmtId="0" fontId="80" fillId="0" borderId="0" xfId="0" applyFont="1" applyAlignment="1">
      <alignment horizontal="center" vertical="center" shrinkToFit="1"/>
    </xf>
    <xf numFmtId="164" fontId="80" fillId="0" borderId="0" xfId="0" applyNumberFormat="1" applyFont="1" applyAlignment="1">
      <alignment vertical="center"/>
    </xf>
    <xf numFmtId="172" fontId="80" fillId="0" borderId="0" xfId="0" applyNumberFormat="1" applyFont="1" applyAlignment="1">
      <alignment vertical="center"/>
    </xf>
    <xf numFmtId="164" fontId="80" fillId="0" borderId="0" xfId="0" applyNumberFormat="1" applyFont="1" applyAlignment="1">
      <alignment horizontal="right" vertical="center"/>
    </xf>
    <xf numFmtId="0" fontId="80" fillId="0" borderId="0" xfId="0" applyFont="1" applyAlignment="1">
      <alignment vertical="top"/>
    </xf>
    <xf numFmtId="0" fontId="80" fillId="0" borderId="0" xfId="0" applyFont="1" applyAlignment="1">
      <alignment horizontal="center" vertical="top"/>
    </xf>
    <xf numFmtId="0" fontId="80" fillId="0" borderId="0" xfId="0" applyFont="1" applyAlignment="1">
      <alignment horizontal="center" vertical="top" shrinkToFit="1"/>
    </xf>
    <xf numFmtId="164" fontId="80" fillId="0" borderId="0" xfId="0" applyNumberFormat="1" applyFont="1" applyAlignment="1">
      <alignment vertical="top"/>
    </xf>
    <xf numFmtId="172" fontId="80" fillId="0" borderId="0" xfId="0" applyNumberFormat="1" applyFont="1" applyAlignment="1">
      <alignment vertical="top"/>
    </xf>
    <xf numFmtId="164" fontId="80" fillId="0" borderId="0" xfId="0" applyNumberFormat="1" applyFont="1" applyAlignment="1">
      <alignment horizontal="right" vertical="top"/>
    </xf>
    <xf numFmtId="0" fontId="84" fillId="0" borderId="0" xfId="0" applyFont="1" applyAlignment="1">
      <alignment vertical="top"/>
    </xf>
    <xf numFmtId="0" fontId="80" fillId="0" borderId="0" xfId="0" applyFont="1" applyAlignment="1" quotePrefix="1">
      <alignment horizontal="center" vertical="top"/>
    </xf>
    <xf numFmtId="0" fontId="80" fillId="0" borderId="0" xfId="0" applyFont="1" applyAlignment="1" quotePrefix="1">
      <alignment vertical="top"/>
    </xf>
    <xf numFmtId="0" fontId="80" fillId="0" borderId="0" xfId="0" applyFont="1" applyAlignment="1">
      <alignment horizontal="left" vertical="top"/>
    </xf>
    <xf numFmtId="0" fontId="79" fillId="0" borderId="0" xfId="0" applyFont="1" applyAlignment="1">
      <alignment vertical="top"/>
    </xf>
    <xf numFmtId="9" fontId="80" fillId="0" borderId="0" xfId="0" applyNumberFormat="1" applyFont="1" applyAlignment="1">
      <alignment vertical="top"/>
    </xf>
    <xf numFmtId="0" fontId="84" fillId="0" borderId="0" xfId="0" applyFont="1" applyAlignment="1">
      <alignment vertical="center"/>
    </xf>
    <xf numFmtId="164" fontId="80" fillId="0" borderId="0" xfId="0" applyNumberFormat="1" applyFont="1" applyAlignment="1">
      <alignment horizontal="left" vertical="center"/>
    </xf>
    <xf numFmtId="0" fontId="80" fillId="0" borderId="0" xfId="0" applyFont="1" applyAlignment="1">
      <alignment horizontal="right" vertical="center"/>
    </xf>
    <xf numFmtId="0" fontId="80" fillId="0" borderId="0" xfId="0" applyFont="1" applyAlignment="1">
      <alignment horizontal="left" vertical="center"/>
    </xf>
    <xf numFmtId="0" fontId="84" fillId="0" borderId="0" xfId="0" applyFont="1" applyAlignment="1">
      <alignment horizontal="left" vertical="center"/>
    </xf>
    <xf numFmtId="176" fontId="80" fillId="0" borderId="0" xfId="0" applyNumberFormat="1" applyFont="1" applyAlignment="1">
      <alignment horizontal="left" vertical="center" shrinkToFit="1"/>
    </xf>
    <xf numFmtId="0" fontId="80" fillId="0" borderId="0" xfId="0" applyFont="1" applyAlignment="1" quotePrefix="1">
      <alignment horizontal="left" vertical="center"/>
    </xf>
    <xf numFmtId="0" fontId="80" fillId="0" borderId="0" xfId="0" applyFont="1" applyAlignment="1">
      <alignment horizontal="left" vertical="center" shrinkToFit="1"/>
    </xf>
    <xf numFmtId="172" fontId="80" fillId="0" borderId="0" xfId="0" applyNumberFormat="1" applyFont="1" applyAlignment="1">
      <alignment horizontal="left" vertical="center"/>
    </xf>
    <xf numFmtId="0" fontId="96" fillId="0" borderId="0" xfId="0" applyFont="1" applyAlignment="1">
      <alignment vertical="top"/>
    </xf>
    <xf numFmtId="0" fontId="96" fillId="0" borderId="0" xfId="0" applyFont="1" applyAlignment="1">
      <alignment horizontal="left" vertical="center"/>
    </xf>
    <xf numFmtId="0" fontId="96" fillId="0" borderId="0" xfId="0" applyFont="1" applyAlignment="1">
      <alignment horizontal="center" vertical="top" shrinkToFit="1"/>
    </xf>
    <xf numFmtId="172" fontId="96" fillId="0" borderId="0" xfId="0" applyNumberFormat="1" applyFont="1" applyAlignment="1">
      <alignment vertical="top"/>
    </xf>
    <xf numFmtId="0" fontId="96" fillId="0" borderId="0" xfId="0" applyFont="1" applyAlignment="1">
      <alignment horizontal="center" vertical="top"/>
    </xf>
    <xf numFmtId="9" fontId="97" fillId="0" borderId="0" xfId="0" applyNumberFormat="1" applyFont="1" applyAlignment="1">
      <alignment horizontal="center" vertical="center" shrinkToFit="1"/>
    </xf>
    <xf numFmtId="9" fontId="97" fillId="0" borderId="0" xfId="0" applyNumberFormat="1" applyFont="1" applyAlignment="1">
      <alignment vertical="center" shrinkToFit="1"/>
    </xf>
    <xf numFmtId="0" fontId="75" fillId="0" borderId="3" xfId="21" applyFont="1" applyBorder="1" applyAlignment="1">
      <alignment horizontal="right" vertical="center" shrinkToFit="1"/>
      <protection/>
    </xf>
    <xf numFmtId="0" fontId="75" fillId="0" borderId="0" xfId="21" applyFont="1" applyBorder="1" applyAlignment="1">
      <alignment horizontal="right" vertical="center" shrinkToFit="1"/>
      <protection/>
    </xf>
    <xf numFmtId="0" fontId="66" fillId="2" borderId="0" xfId="20" applyFont="1" applyFill="1" applyAlignment="1">
      <alignment vertical="center" shrinkToFit="1"/>
      <protection/>
    </xf>
    <xf numFmtId="0" fontId="3" fillId="0" borderId="0" xfId="20" applyFont="1" applyAlignment="1">
      <alignment vertical="center" shrinkToFit="1"/>
      <protection/>
    </xf>
    <xf numFmtId="0" fontId="5" fillId="0" borderId="0" xfId="20" applyFont="1" applyAlignment="1">
      <alignment vertical="center" shrinkToFit="1"/>
      <protection/>
    </xf>
    <xf numFmtId="0" fontId="5" fillId="0" borderId="0" xfId="20" applyFont="1" applyAlignment="1">
      <alignment horizontal="center" vertical="center" shrinkToFit="1"/>
      <protection/>
    </xf>
    <xf numFmtId="164" fontId="3" fillId="0" borderId="0" xfId="20" applyNumberFormat="1" applyFont="1" applyAlignment="1">
      <alignment vertical="center" shrinkToFit="1"/>
      <protection/>
    </xf>
    <xf numFmtId="0" fontId="24" fillId="0" borderId="0" xfId="20" applyFont="1" applyAlignment="1">
      <alignment vertical="center" shrinkToFit="1"/>
      <protection/>
    </xf>
    <xf numFmtId="0" fontId="3" fillId="4" borderId="0" xfId="20" applyFont="1" applyFill="1" applyAlignment="1">
      <alignment vertical="center" shrinkToFit="1"/>
      <protection/>
    </xf>
    <xf numFmtId="0" fontId="3" fillId="0" borderId="0" xfId="20" applyFont="1" applyAlignment="1">
      <alignment horizontal="center" vertical="center" shrinkToFit="1"/>
      <protection/>
    </xf>
    <xf numFmtId="172" fontId="3" fillId="0" borderId="0" xfId="20" applyNumberFormat="1" applyFont="1" applyAlignment="1">
      <alignment vertical="center" shrinkToFit="1"/>
      <protection/>
    </xf>
    <xf numFmtId="164" fontId="3" fillId="0" borderId="0" xfId="20" applyNumberFormat="1" applyFont="1" applyAlignment="1">
      <alignment horizontal="right" vertical="center" shrinkToFit="1"/>
      <protection/>
    </xf>
    <xf numFmtId="168" fontId="3" fillId="0" borderId="0" xfId="20" applyNumberFormat="1" applyFont="1" applyAlignment="1">
      <alignment vertical="center" shrinkToFit="1"/>
      <protection/>
    </xf>
    <xf numFmtId="0" fontId="3" fillId="2" borderId="0" xfId="20" applyFont="1" applyFill="1" applyAlignment="1">
      <alignment vertical="center"/>
      <protection/>
    </xf>
    <xf numFmtId="0" fontId="3" fillId="0" borderId="0" xfId="20" applyFont="1" applyAlignment="1">
      <alignment vertical="center"/>
      <protection/>
    </xf>
    <xf numFmtId="0" fontId="5" fillId="0" borderId="0" xfId="20" applyFont="1" applyAlignment="1">
      <alignment vertical="center"/>
      <protection/>
    </xf>
    <xf numFmtId="0" fontId="5" fillId="0" borderId="0" xfId="20" applyFont="1" applyAlignment="1">
      <alignment horizontal="center" vertical="center"/>
      <protection/>
    </xf>
    <xf numFmtId="164" fontId="3" fillId="0" borderId="0" xfId="20" applyNumberFormat="1" applyFont="1" applyAlignment="1">
      <alignment vertical="center"/>
      <protection/>
    </xf>
    <xf numFmtId="0" fontId="24" fillId="0" borderId="0" xfId="20" applyFont="1" applyAlignment="1">
      <alignment vertical="center"/>
      <protection/>
    </xf>
    <xf numFmtId="172" fontId="3" fillId="0" borderId="0" xfId="20" applyNumberFormat="1" applyFont="1" applyAlignment="1">
      <alignment vertical="center"/>
      <protection/>
    </xf>
    <xf numFmtId="164" fontId="3" fillId="0" borderId="0" xfId="20" applyNumberFormat="1" applyFont="1" applyAlignment="1">
      <alignment horizontal="right" vertical="center"/>
      <protection/>
    </xf>
    <xf numFmtId="0" fontId="3" fillId="0" borderId="1" xfId="20" applyFont="1" applyBorder="1" applyAlignment="1">
      <alignment horizontal="center" vertical="center" shrinkToFit="1"/>
      <protection/>
    </xf>
    <xf numFmtId="0" fontId="5" fillId="0" borderId="1" xfId="20" applyFont="1" applyBorder="1" applyAlignment="1">
      <alignment horizontal="center" vertical="center"/>
      <protection/>
    </xf>
    <xf numFmtId="0" fontId="3" fillId="0" borderId="1" xfId="20" applyFont="1" applyBorder="1" applyAlignment="1">
      <alignment vertical="center"/>
      <protection/>
    </xf>
    <xf numFmtId="164" fontId="12" fillId="0" borderId="4" xfId="18" applyNumberFormat="1" applyFont="1" applyBorder="1" applyAlignment="1" applyProtection="1">
      <alignment vertical="center" wrapText="1"/>
      <protection locked="0"/>
    </xf>
    <xf numFmtId="0" fontId="3" fillId="0" borderId="0" xfId="20" applyFont="1" applyFill="1" applyAlignment="1">
      <alignment vertical="center"/>
      <protection/>
    </xf>
    <xf numFmtId="0" fontId="118" fillId="0" borderId="0" xfId="20" applyFont="1" applyAlignment="1">
      <alignment vertical="center"/>
      <protection/>
    </xf>
    <xf numFmtId="170" fontId="31" fillId="0" borderId="0" xfId="20" applyNumberFormat="1" applyFont="1" applyAlignment="1">
      <alignment horizontal="right" vertical="center"/>
      <protection/>
    </xf>
    <xf numFmtId="164" fontId="30" fillId="0" borderId="0" xfId="20" applyNumberFormat="1" applyFont="1" applyAlignment="1">
      <alignment horizontal="center" vertical="center"/>
      <protection/>
    </xf>
    <xf numFmtId="0" fontId="5" fillId="0" borderId="0" xfId="20" applyFont="1" applyFill="1" applyAlignment="1">
      <alignment horizontal="center" vertical="center"/>
      <protection/>
    </xf>
    <xf numFmtId="0" fontId="5" fillId="0" borderId="0" xfId="20" applyFont="1" applyFill="1" applyAlignment="1">
      <alignment horizontal="center" vertical="center" shrinkToFit="1"/>
      <protection/>
    </xf>
    <xf numFmtId="164" fontId="3" fillId="0" borderId="0" xfId="20" applyNumberFormat="1" applyFont="1" applyFill="1" applyAlignment="1">
      <alignment vertical="center"/>
      <protection/>
    </xf>
    <xf numFmtId="0" fontId="24" fillId="0" borderId="0" xfId="20" applyFont="1" applyFill="1" applyAlignment="1">
      <alignment vertical="center"/>
      <protection/>
    </xf>
    <xf numFmtId="0" fontId="3" fillId="0" borderId="0" xfId="20" applyFont="1" applyFill="1" applyAlignment="1">
      <alignment horizontal="center" vertical="center" shrinkToFit="1"/>
      <protection/>
    </xf>
    <xf numFmtId="172" fontId="3" fillId="0" borderId="0" xfId="20" applyNumberFormat="1" applyFont="1" applyFill="1" applyAlignment="1">
      <alignment vertical="center"/>
      <protection/>
    </xf>
    <xf numFmtId="164" fontId="3" fillId="0" borderId="0" xfId="20" applyNumberFormat="1" applyFont="1" applyFill="1" applyAlignment="1">
      <alignment horizontal="right" vertical="center"/>
      <protection/>
    </xf>
    <xf numFmtId="164" fontId="3" fillId="2" borderId="0" xfId="20" applyNumberFormat="1" applyFont="1" applyFill="1" applyAlignment="1">
      <alignment vertical="center"/>
      <protection/>
    </xf>
    <xf numFmtId="0" fontId="5" fillId="2" borderId="0" xfId="20" applyFont="1" applyFill="1" applyAlignment="1">
      <alignment horizontal="center" vertical="center"/>
      <protection/>
    </xf>
    <xf numFmtId="0" fontId="120" fillId="5" borderId="5" xfId="18" applyFont="1" applyFill="1" applyBorder="1" applyAlignment="1" applyProtection="1">
      <alignment vertical="center"/>
      <protection locked="0"/>
    </xf>
    <xf numFmtId="0" fontId="71" fillId="0" borderId="0" xfId="20" applyFont="1" applyAlignment="1">
      <alignment vertical="center"/>
      <protection/>
    </xf>
    <xf numFmtId="0" fontId="70" fillId="0" borderId="0" xfId="20" applyFont="1" applyAlignment="1">
      <alignment horizontal="center" vertical="center"/>
      <protection/>
    </xf>
    <xf numFmtId="0" fontId="70" fillId="0" borderId="0" xfId="20" applyFont="1" applyAlignment="1">
      <alignment horizontal="center" vertical="center" shrinkToFit="1"/>
      <protection/>
    </xf>
    <xf numFmtId="164" fontId="71" fillId="0" borderId="0" xfId="20" applyNumberFormat="1" applyFont="1" applyAlignment="1">
      <alignment vertical="center"/>
      <protection/>
    </xf>
    <xf numFmtId="0" fontId="119" fillId="0" borderId="0" xfId="20" applyFont="1" applyAlignment="1">
      <alignment vertical="center"/>
      <protection/>
    </xf>
    <xf numFmtId="0" fontId="71" fillId="0" borderId="0" xfId="20" applyFont="1" applyAlignment="1">
      <alignment horizontal="center" vertical="center" shrinkToFit="1"/>
      <protection/>
    </xf>
    <xf numFmtId="172" fontId="71" fillId="0" borderId="0" xfId="20" applyNumberFormat="1" applyFont="1" applyAlignment="1">
      <alignment vertical="center"/>
      <protection/>
    </xf>
    <xf numFmtId="164" fontId="71" fillId="0" borderId="0" xfId="20" applyNumberFormat="1" applyFont="1" applyAlignment="1">
      <alignment horizontal="right" vertical="center"/>
      <protection/>
    </xf>
    <xf numFmtId="164" fontId="125" fillId="5" borderId="6" xfId="20" applyNumberFormat="1" applyFont="1" applyFill="1" applyBorder="1" applyAlignment="1">
      <alignment/>
      <protection/>
    </xf>
    <xf numFmtId="0" fontId="70" fillId="5" borderId="4" xfId="20" applyFont="1" applyFill="1" applyBorder="1" applyAlignment="1">
      <alignment horizontal="center"/>
      <protection/>
    </xf>
    <xf numFmtId="0" fontId="71" fillId="5" borderId="4" xfId="20" applyFont="1" applyFill="1" applyBorder="1" applyAlignment="1">
      <alignment/>
      <protection/>
    </xf>
    <xf numFmtId="164" fontId="71" fillId="5" borderId="7" xfId="20" applyNumberFormat="1" applyFont="1" applyFill="1" applyBorder="1" applyAlignment="1">
      <alignment horizontal="right" vertical="top"/>
      <protection/>
    </xf>
    <xf numFmtId="0" fontId="5" fillId="6" borderId="0" xfId="20" applyFont="1" applyFill="1" applyAlignment="1">
      <alignment vertical="center"/>
      <protection/>
    </xf>
    <xf numFmtId="0" fontId="3" fillId="6" borderId="0" xfId="20" applyFont="1" applyFill="1" applyAlignment="1">
      <alignment vertical="center"/>
      <protection/>
    </xf>
    <xf numFmtId="0" fontId="5" fillId="6" borderId="0" xfId="20" applyFont="1" applyFill="1" applyAlignment="1">
      <alignment horizontal="center" vertical="center"/>
      <protection/>
    </xf>
    <xf numFmtId="0" fontId="5" fillId="6" borderId="0" xfId="20" applyFont="1" applyFill="1" applyAlignment="1">
      <alignment horizontal="center" vertical="center" shrinkToFit="1"/>
      <protection/>
    </xf>
    <xf numFmtId="164" fontId="3" fillId="6" borderId="0" xfId="20" applyNumberFormat="1" applyFont="1" applyFill="1" applyAlignment="1">
      <alignment vertical="center"/>
      <protection/>
    </xf>
    <xf numFmtId="0" fontId="24" fillId="6" borderId="0" xfId="20" applyFont="1" applyFill="1" applyAlignment="1">
      <alignment vertical="center"/>
      <protection/>
    </xf>
    <xf numFmtId="165" fontId="3" fillId="6" borderId="8" xfId="20" applyNumberFormat="1" applyFont="1" applyFill="1" applyBorder="1" applyAlignment="1" applyProtection="1">
      <alignment vertical="center"/>
      <protection locked="0"/>
    </xf>
    <xf numFmtId="0" fontId="3" fillId="6" borderId="0" xfId="20" applyFont="1" applyFill="1" applyAlignment="1">
      <alignment horizontal="center" vertical="center" shrinkToFit="1"/>
      <protection/>
    </xf>
    <xf numFmtId="0" fontId="5" fillId="6" borderId="8" xfId="20" applyFont="1" applyFill="1" applyBorder="1" applyAlignment="1">
      <alignment horizontal="center" vertical="center"/>
      <protection/>
    </xf>
    <xf numFmtId="172" fontId="3" fillId="6" borderId="0" xfId="20" applyNumberFormat="1" applyFont="1" applyFill="1" applyAlignment="1">
      <alignment vertical="center"/>
      <protection/>
    </xf>
    <xf numFmtId="164" fontId="3" fillId="6" borderId="0" xfId="20" applyNumberFormat="1" applyFont="1" applyFill="1" applyAlignment="1">
      <alignment horizontal="right" vertical="center"/>
      <protection/>
    </xf>
    <xf numFmtId="0" fontId="3" fillId="0" borderId="0" xfId="20" applyFont="1" applyBorder="1" applyAlignment="1">
      <alignment vertical="center"/>
      <protection/>
    </xf>
    <xf numFmtId="165" fontId="3" fillId="6" borderId="8" xfId="20" applyNumberFormat="1" applyFont="1" applyFill="1" applyBorder="1" applyAlignment="1" applyProtection="1">
      <alignment vertical="center"/>
      <protection/>
    </xf>
    <xf numFmtId="0" fontId="5" fillId="2" borderId="0" xfId="20" applyFont="1" applyFill="1" applyAlignment="1">
      <alignment vertical="center"/>
      <protection/>
    </xf>
    <xf numFmtId="0" fontId="126" fillId="2" borderId="0" xfId="20" applyFont="1" applyFill="1" applyAlignment="1">
      <alignment vertical="center"/>
      <protection/>
    </xf>
    <xf numFmtId="0" fontId="21" fillId="2" borderId="0" xfId="20" applyFont="1" applyFill="1" applyAlignment="1">
      <alignment horizontal="right" vertical="center" textRotation="90" wrapText="1"/>
      <protection/>
    </xf>
    <xf numFmtId="164" fontId="3" fillId="4" borderId="6" xfId="20" applyNumberFormat="1" applyFont="1" applyFill="1" applyBorder="1" applyAlignment="1">
      <alignment vertical="center"/>
      <protection/>
    </xf>
    <xf numFmtId="0" fontId="3" fillId="4" borderId="4" xfId="20" applyFont="1" applyFill="1" applyBorder="1" applyAlignment="1">
      <alignment vertical="center"/>
      <protection/>
    </xf>
    <xf numFmtId="0" fontId="4" fillId="5" borderId="4" xfId="20" applyFont="1" applyFill="1" applyBorder="1" applyAlignment="1">
      <alignment vertical="center"/>
      <protection/>
    </xf>
    <xf numFmtId="0" fontId="3" fillId="5" borderId="4" xfId="20" applyFont="1" applyFill="1" applyBorder="1" applyAlignment="1">
      <alignment vertical="center"/>
      <protection/>
    </xf>
    <xf numFmtId="0" fontId="3" fillId="5" borderId="4" xfId="20" applyFont="1" applyFill="1" applyBorder="1" applyAlignment="1">
      <alignment horizontal="center" vertical="center" shrinkToFit="1"/>
      <protection/>
    </xf>
    <xf numFmtId="0" fontId="5" fillId="5" borderId="4" xfId="20" applyFont="1" applyFill="1" applyBorder="1" applyAlignment="1">
      <alignment horizontal="center" vertical="center"/>
      <protection/>
    </xf>
    <xf numFmtId="164" fontId="3" fillId="4" borderId="4" xfId="20" applyNumberFormat="1" applyFont="1" applyFill="1" applyBorder="1" applyAlignment="1">
      <alignment vertical="center"/>
      <protection/>
    </xf>
    <xf numFmtId="172" fontId="3" fillId="4" borderId="7" xfId="20" applyNumberFormat="1" applyFont="1" applyFill="1" applyBorder="1" applyAlignment="1">
      <alignment vertical="center"/>
      <protection/>
    </xf>
    <xf numFmtId="164" fontId="3" fillId="2" borderId="0" xfId="20" applyNumberFormat="1" applyFont="1" applyFill="1" applyAlignment="1">
      <alignment horizontal="right" vertical="center"/>
      <protection/>
    </xf>
    <xf numFmtId="6" fontId="3" fillId="2" borderId="0" xfId="20" applyNumberFormat="1" applyFont="1" applyFill="1" applyAlignment="1">
      <alignment horizontal="right" vertical="center"/>
      <protection/>
    </xf>
    <xf numFmtId="164" fontId="5" fillId="2" borderId="0" xfId="20" applyNumberFormat="1" applyFont="1" applyFill="1" applyAlignment="1">
      <alignment horizontal="center" vertical="center"/>
      <protection/>
    </xf>
    <xf numFmtId="0" fontId="3" fillId="2" borderId="0" xfId="20" applyFont="1" applyFill="1" applyAlignment="1">
      <alignment horizontal="center" vertical="center" wrapText="1" shrinkToFit="1"/>
      <protection/>
    </xf>
    <xf numFmtId="0" fontId="3" fillId="0" borderId="0" xfId="20" applyFont="1" applyAlignment="1">
      <alignment horizontal="center" vertical="center" wrapText="1" shrinkToFit="1"/>
      <protection/>
    </xf>
    <xf numFmtId="0" fontId="21" fillId="0" borderId="0" xfId="20" applyFont="1" applyAlignment="1">
      <alignment horizontal="center" vertical="center" textRotation="90" wrapText="1"/>
      <protection/>
    </xf>
    <xf numFmtId="0" fontId="5" fillId="0" borderId="0" xfId="20" applyFont="1" applyAlignment="1">
      <alignment horizontal="left" vertical="center" wrapText="1" shrinkToFit="1"/>
      <protection/>
    </xf>
    <xf numFmtId="0" fontId="5" fillId="0" borderId="0" xfId="20" applyFont="1" applyAlignment="1">
      <alignment horizontal="center" vertical="center" textRotation="90" wrapText="1" shrinkToFit="1"/>
      <protection/>
    </xf>
    <xf numFmtId="0" fontId="5" fillId="0" borderId="0" xfId="20" applyFont="1" applyAlignment="1">
      <alignment horizontal="center" vertical="center" wrapText="1" shrinkToFit="1"/>
      <protection/>
    </xf>
    <xf numFmtId="0" fontId="5" fillId="0" borderId="0" xfId="20" applyFont="1" applyAlignment="1">
      <alignment horizontal="center" vertical="center" textRotation="90" wrapText="1"/>
      <protection/>
    </xf>
    <xf numFmtId="164" fontId="5" fillId="0" borderId="0" xfId="20" applyNumberFormat="1" applyFont="1" applyAlignment="1">
      <alignment horizontal="center" vertical="center" textRotation="90" wrapText="1" shrinkToFit="1"/>
      <protection/>
    </xf>
    <xf numFmtId="164" fontId="5" fillId="0" borderId="0" xfId="20" applyNumberFormat="1" applyFont="1" applyAlignment="1">
      <alignment horizontal="center" vertical="center" wrapText="1" shrinkToFit="1"/>
      <protection/>
    </xf>
    <xf numFmtId="0" fontId="24" fillId="0" borderId="0" xfId="20" applyFont="1" applyAlignment="1">
      <alignment horizontal="center" vertical="center" wrapText="1" shrinkToFit="1"/>
      <protection/>
    </xf>
    <xf numFmtId="165" fontId="5" fillId="4" borderId="9" xfId="20" applyNumberFormat="1" applyFont="1" applyFill="1" applyBorder="1" applyAlignment="1" applyProtection="1">
      <alignment horizontal="center" vertical="center" wrapText="1" shrinkToFit="1"/>
      <protection locked="0"/>
    </xf>
    <xf numFmtId="0" fontId="5" fillId="0" borderId="8" xfId="20" applyFont="1" applyBorder="1" applyAlignment="1">
      <alignment horizontal="center" vertical="center" textRotation="90" wrapText="1" shrinkToFit="1"/>
      <protection/>
    </xf>
    <xf numFmtId="0" fontId="5" fillId="5" borderId="9" xfId="20" applyFont="1" applyFill="1" applyBorder="1" applyAlignment="1">
      <alignment horizontal="center" vertical="center" textRotation="90" wrapText="1" shrinkToFit="1"/>
      <protection/>
    </xf>
    <xf numFmtId="172" fontId="5" fillId="0" borderId="0" xfId="20" applyNumberFormat="1" applyFont="1" applyAlignment="1">
      <alignment horizontal="center" vertical="center" wrapText="1" shrinkToFit="1"/>
      <protection/>
    </xf>
    <xf numFmtId="164" fontId="22" fillId="0" borderId="0" xfId="20" applyNumberFormat="1" applyFont="1" applyAlignment="1">
      <alignment horizontal="right" vertical="center" wrapText="1" shrinkToFit="1"/>
      <protection/>
    </xf>
    <xf numFmtId="164" fontId="22" fillId="0" borderId="0" xfId="20" applyNumberFormat="1" applyFont="1" applyAlignment="1">
      <alignment horizontal="center" vertical="center" wrapText="1" shrinkToFit="1"/>
      <protection/>
    </xf>
    <xf numFmtId="0" fontId="4" fillId="0" borderId="0" xfId="20" applyFont="1" applyBorder="1" applyAlignment="1">
      <alignment vertical="center"/>
      <protection/>
    </xf>
    <xf numFmtId="0" fontId="3" fillId="0" borderId="0" xfId="20" applyFont="1" applyAlignment="1">
      <alignment horizontal="left" vertical="center"/>
      <protection/>
    </xf>
    <xf numFmtId="164" fontId="3" fillId="0" borderId="0" xfId="20" applyNumberFormat="1" applyFont="1" applyBorder="1" applyAlignment="1">
      <alignment vertical="center"/>
      <protection/>
    </xf>
    <xf numFmtId="0" fontId="24" fillId="0" borderId="0" xfId="20" applyFont="1" applyAlignment="1" applyProtection="1">
      <alignment vertical="center"/>
      <protection locked="0"/>
    </xf>
    <xf numFmtId="0" fontId="5" fillId="0" borderId="8" xfId="20" applyFont="1" applyBorder="1" applyAlignment="1">
      <alignment horizontal="center" vertical="center"/>
      <protection/>
    </xf>
    <xf numFmtId="0" fontId="7" fillId="0" borderId="0" xfId="18" applyAlignment="1" applyProtection="1">
      <alignment horizontal="left" vertical="center" shrinkToFit="1"/>
      <protection locked="0"/>
    </xf>
    <xf numFmtId="0" fontId="47" fillId="0" borderId="10" xfId="20" applyFont="1" applyBorder="1" applyAlignment="1">
      <alignment vertical="center"/>
      <protection/>
    </xf>
    <xf numFmtId="0" fontId="3" fillId="0" borderId="10" xfId="20" applyFont="1" applyBorder="1" applyAlignment="1">
      <alignment vertical="center"/>
      <protection/>
    </xf>
    <xf numFmtId="0" fontId="5" fillId="0" borderId="10" xfId="20" applyFont="1" applyBorder="1" applyAlignment="1">
      <alignment horizontal="center" vertical="center"/>
      <protection/>
    </xf>
    <xf numFmtId="0" fontId="3" fillId="0" borderId="10" xfId="20" applyFont="1" applyBorder="1" applyAlignment="1">
      <alignment horizontal="center" vertical="center"/>
      <protection/>
    </xf>
    <xf numFmtId="166" fontId="3" fillId="0" borderId="10" xfId="20" applyNumberFormat="1" applyFont="1" applyBorder="1" applyAlignment="1">
      <alignment horizontal="center" vertical="center"/>
      <protection/>
    </xf>
    <xf numFmtId="166" fontId="3" fillId="0" borderId="10" xfId="20" applyNumberFormat="1" applyFont="1" applyBorder="1" applyAlignment="1">
      <alignment horizontal="right" vertical="center"/>
      <protection/>
    </xf>
    <xf numFmtId="0" fontId="5" fillId="0" borderId="10" xfId="20" applyFont="1" applyBorder="1" applyAlignment="1">
      <alignment horizontal="center" vertical="center" shrinkToFit="1"/>
      <protection/>
    </xf>
    <xf numFmtId="164" fontId="3" fillId="0" borderId="10" xfId="20" applyNumberFormat="1" applyFont="1" applyBorder="1" applyAlignment="1">
      <alignment vertical="center"/>
      <protection/>
    </xf>
    <xf numFmtId="165" fontId="8" fillId="5" borderId="1" xfId="20" applyNumberFormat="1" applyFont="1" applyFill="1" applyBorder="1" applyAlignment="1" applyProtection="1">
      <alignment horizontal="center" vertical="center" shrinkToFit="1"/>
      <protection locked="0"/>
    </xf>
    <xf numFmtId="172" fontId="3" fillId="0" borderId="10" xfId="20" applyNumberFormat="1" applyFont="1" applyBorder="1" applyAlignment="1">
      <alignment vertical="center"/>
      <protection/>
    </xf>
    <xf numFmtId="164" fontId="3" fillId="0" borderId="10" xfId="20" applyNumberFormat="1" applyFont="1" applyBorder="1" applyAlignment="1">
      <alignment horizontal="right" vertical="center"/>
      <protection/>
    </xf>
    <xf numFmtId="0" fontId="47" fillId="0" borderId="0" xfId="20" applyFont="1" applyBorder="1" applyAlignment="1">
      <alignment vertical="center"/>
      <protection/>
    </xf>
    <xf numFmtId="0" fontId="5" fillId="0" borderId="0" xfId="20" applyFont="1" applyBorder="1" applyAlignment="1">
      <alignment horizontal="center" vertical="center"/>
      <protection/>
    </xf>
    <xf numFmtId="0" fontId="3" fillId="0" borderId="0" xfId="20" applyFont="1" applyBorder="1" applyAlignment="1">
      <alignment horizontal="center" vertical="center"/>
      <protection/>
    </xf>
    <xf numFmtId="166" fontId="3" fillId="0" borderId="0" xfId="20" applyNumberFormat="1" applyFont="1" applyBorder="1" applyAlignment="1">
      <alignment horizontal="center" vertical="center"/>
      <protection/>
    </xf>
    <xf numFmtId="166" fontId="3" fillId="0" borderId="0" xfId="20" applyNumberFormat="1" applyFont="1" applyBorder="1" applyAlignment="1">
      <alignment horizontal="right" vertical="center"/>
      <protection/>
    </xf>
    <xf numFmtId="0" fontId="5" fillId="0" borderId="0" xfId="20" applyFont="1" applyBorder="1" applyAlignment="1">
      <alignment horizontal="center" vertical="center" shrinkToFit="1"/>
      <protection/>
    </xf>
    <xf numFmtId="172" fontId="3" fillId="0" borderId="0" xfId="20" applyNumberFormat="1" applyFont="1" applyBorder="1" applyAlignment="1">
      <alignment vertical="center"/>
      <protection/>
    </xf>
    <xf numFmtId="164" fontId="3" fillId="0" borderId="0" xfId="20" applyNumberFormat="1" applyFont="1" applyBorder="1" applyAlignment="1">
      <alignment horizontal="right" vertical="center"/>
      <protection/>
    </xf>
    <xf numFmtId="0" fontId="128" fillId="0" borderId="2" xfId="20" applyFont="1" applyBorder="1" applyAlignment="1">
      <alignment horizontal="center" vertical="center"/>
      <protection/>
    </xf>
    <xf numFmtId="0" fontId="129" fillId="0" borderId="0" xfId="20" applyFont="1" applyBorder="1" applyAlignment="1">
      <alignment vertical="center"/>
      <protection/>
    </xf>
    <xf numFmtId="0" fontId="130" fillId="0" borderId="0" xfId="20" applyFont="1" applyBorder="1" applyAlignment="1">
      <alignment horizontal="center" vertical="center"/>
      <protection/>
    </xf>
    <xf numFmtId="0" fontId="129" fillId="0" borderId="0" xfId="20" applyFont="1" applyBorder="1" applyAlignment="1">
      <alignment horizontal="center" vertical="center"/>
      <protection/>
    </xf>
    <xf numFmtId="166" fontId="129" fillId="0" borderId="0" xfId="20" applyNumberFormat="1" applyFont="1" applyBorder="1" applyAlignment="1">
      <alignment horizontal="center" vertical="center"/>
      <protection/>
    </xf>
    <xf numFmtId="166" fontId="129" fillId="0" borderId="0" xfId="20" applyNumberFormat="1" applyFont="1" applyBorder="1" applyAlignment="1">
      <alignment horizontal="right" vertical="center"/>
      <protection/>
    </xf>
    <xf numFmtId="0" fontId="130" fillId="0" borderId="0" xfId="20" applyFont="1" applyBorder="1" applyAlignment="1">
      <alignment horizontal="center" vertical="center" shrinkToFit="1"/>
      <protection/>
    </xf>
    <xf numFmtId="164" fontId="129" fillId="0" borderId="0" xfId="20" applyNumberFormat="1" applyFont="1" applyBorder="1" applyAlignment="1">
      <alignment vertical="center"/>
      <protection/>
    </xf>
    <xf numFmtId="0" fontId="129" fillId="0" borderId="0" xfId="20" applyFont="1" applyAlignment="1">
      <alignment vertical="center"/>
      <protection/>
    </xf>
    <xf numFmtId="0" fontId="131" fillId="0" borderId="0" xfId="20" applyFont="1" applyFill="1" applyAlignment="1">
      <alignment vertical="center"/>
      <protection/>
    </xf>
    <xf numFmtId="165" fontId="132" fillId="5" borderId="1" xfId="20" applyNumberFormat="1" applyFont="1" applyFill="1" applyBorder="1" applyAlignment="1" applyProtection="1">
      <alignment horizontal="center" vertical="center" shrinkToFit="1"/>
      <protection locked="0"/>
    </xf>
    <xf numFmtId="0" fontId="129" fillId="0" borderId="0" xfId="20" applyFont="1" applyAlignment="1">
      <alignment horizontal="center" vertical="center" shrinkToFit="1"/>
      <protection/>
    </xf>
    <xf numFmtId="0" fontId="130" fillId="0" borderId="8" xfId="20" applyFont="1" applyBorder="1" applyAlignment="1">
      <alignment horizontal="center" vertical="center"/>
      <protection/>
    </xf>
    <xf numFmtId="172" fontId="129" fillId="0" borderId="0" xfId="20" applyNumberFormat="1" applyFont="1" applyBorder="1" applyAlignment="1">
      <alignment vertical="center"/>
      <protection/>
    </xf>
    <xf numFmtId="164" fontId="129" fillId="0" borderId="0" xfId="20" applyNumberFormat="1" applyFont="1" applyBorder="1" applyAlignment="1">
      <alignment horizontal="right" vertical="center"/>
      <protection/>
    </xf>
    <xf numFmtId="0" fontId="130" fillId="0" borderId="0" xfId="20" applyFont="1" applyAlignment="1">
      <alignment horizontal="center" vertical="center"/>
      <protection/>
    </xf>
    <xf numFmtId="164" fontId="129" fillId="0" borderId="0" xfId="20" applyNumberFormat="1" applyFont="1" applyAlignment="1">
      <alignment vertical="center"/>
      <protection/>
    </xf>
    <xf numFmtId="0" fontId="127" fillId="0" borderId="0" xfId="20" applyFont="1" applyBorder="1" applyAlignment="1">
      <alignment horizontal="center" vertical="center"/>
      <protection/>
    </xf>
    <xf numFmtId="0" fontId="10" fillId="0" borderId="0" xfId="20" applyFont="1" applyBorder="1" applyAlignment="1">
      <alignment vertical="center"/>
      <protection/>
    </xf>
    <xf numFmtId="0" fontId="6" fillId="0" borderId="0" xfId="20" applyFont="1" applyBorder="1" applyAlignment="1">
      <alignment vertical="center"/>
      <protection/>
    </xf>
    <xf numFmtId="0" fontId="129" fillId="0" borderId="2" xfId="20" applyFont="1" applyBorder="1" applyAlignment="1">
      <alignment vertical="center"/>
      <protection/>
    </xf>
    <xf numFmtId="0" fontId="130" fillId="0" borderId="2" xfId="20" applyFont="1" applyBorder="1" applyAlignment="1">
      <alignment horizontal="center" vertical="center"/>
      <protection/>
    </xf>
    <xf numFmtId="0" fontId="129" fillId="0" borderId="2" xfId="20" applyFont="1" applyBorder="1" applyAlignment="1">
      <alignment horizontal="center" vertical="center"/>
      <protection/>
    </xf>
    <xf numFmtId="166" fontId="129" fillId="0" borderId="2" xfId="20" applyNumberFormat="1" applyFont="1" applyBorder="1" applyAlignment="1">
      <alignment horizontal="center" vertical="center"/>
      <protection/>
    </xf>
    <xf numFmtId="166" fontId="129" fillId="0" borderId="2" xfId="20" applyNumberFormat="1" applyFont="1" applyBorder="1" applyAlignment="1">
      <alignment horizontal="right" vertical="center"/>
      <protection/>
    </xf>
    <xf numFmtId="0" fontId="130" fillId="0" borderId="2" xfId="20" applyFont="1" applyBorder="1" applyAlignment="1">
      <alignment horizontal="center" vertical="center" shrinkToFit="1"/>
      <protection/>
    </xf>
    <xf numFmtId="164" fontId="129" fillId="0" borderId="2" xfId="20" applyNumberFormat="1" applyFont="1" applyBorder="1" applyAlignment="1">
      <alignment vertical="center"/>
      <protection/>
    </xf>
    <xf numFmtId="0" fontId="131" fillId="0" borderId="0" xfId="20" applyFont="1" applyAlignment="1">
      <alignment vertical="center"/>
      <protection/>
    </xf>
    <xf numFmtId="172" fontId="129" fillId="0" borderId="2" xfId="20" applyNumberFormat="1" applyFont="1" applyBorder="1" applyAlignment="1">
      <alignment vertical="center"/>
      <protection/>
    </xf>
    <xf numFmtId="164" fontId="129" fillId="0" borderId="2" xfId="20" applyNumberFormat="1" applyFont="1" applyBorder="1" applyAlignment="1">
      <alignment horizontal="right" vertical="center"/>
      <protection/>
    </xf>
    <xf numFmtId="0" fontId="8" fillId="2" borderId="0" xfId="20" applyFont="1" applyFill="1" applyAlignment="1">
      <alignment horizontal="center" vertical="center"/>
      <protection/>
    </xf>
    <xf numFmtId="164" fontId="10" fillId="0" borderId="0" xfId="20" applyNumberFormat="1" applyFont="1" applyBorder="1" applyAlignment="1">
      <alignment horizontal="center" vertical="center"/>
      <protection/>
    </xf>
    <xf numFmtId="0" fontId="68" fillId="0" borderId="0" xfId="20" applyFont="1" applyAlignment="1">
      <alignment horizontal="center" vertical="center" textRotation="90" wrapText="1"/>
      <protection/>
    </xf>
    <xf numFmtId="164" fontId="5" fillId="0" borderId="0" xfId="20" applyNumberFormat="1" applyFont="1" applyBorder="1" applyAlignment="1">
      <alignment horizontal="center" vertical="center" wrapText="1" shrinkToFit="1"/>
      <protection/>
    </xf>
    <xf numFmtId="165" fontId="5" fillId="0" borderId="8" xfId="20" applyNumberFormat="1" applyFont="1" applyBorder="1" applyAlignment="1" applyProtection="1">
      <alignment horizontal="center" vertical="center" wrapText="1" shrinkToFit="1"/>
      <protection locked="0"/>
    </xf>
    <xf numFmtId="0" fontId="4" fillId="0" borderId="2" xfId="20" applyFont="1" applyBorder="1" applyAlignment="1">
      <alignment vertical="center"/>
      <protection/>
    </xf>
    <xf numFmtId="0" fontId="95" fillId="0" borderId="10" xfId="20" applyFont="1" applyBorder="1" applyAlignment="1">
      <alignment vertical="center"/>
      <protection/>
    </xf>
    <xf numFmtId="0" fontId="95" fillId="0" borderId="0" xfId="20" applyFont="1" applyBorder="1" applyAlignment="1">
      <alignment vertical="center"/>
      <protection/>
    </xf>
    <xf numFmtId="0" fontId="123" fillId="0" borderId="10" xfId="20" applyFont="1" applyBorder="1" applyAlignment="1">
      <alignment vertical="center"/>
      <protection/>
    </xf>
    <xf numFmtId="0" fontId="123" fillId="0" borderId="0" xfId="20" applyFont="1" applyBorder="1" applyAlignment="1">
      <alignment vertical="center"/>
      <protection/>
    </xf>
    <xf numFmtId="0" fontId="1" fillId="0" borderId="0" xfId="20" applyFont="1" applyAlignment="1">
      <alignment horizontal="center" vertical="center"/>
      <protection/>
    </xf>
    <xf numFmtId="165" fontId="5" fillId="0" borderId="8" xfId="20" applyNumberFormat="1" applyFont="1" applyBorder="1" applyAlignment="1">
      <alignment horizontal="center" vertical="center"/>
      <protection/>
    </xf>
    <xf numFmtId="164" fontId="5" fillId="0" borderId="0" xfId="20" applyNumberFormat="1" applyFont="1" applyAlignment="1">
      <alignment vertical="center" wrapText="1" shrinkToFit="1"/>
      <protection/>
    </xf>
    <xf numFmtId="0" fontId="46" fillId="0" borderId="10" xfId="20" applyFont="1" applyBorder="1" applyAlignment="1">
      <alignment vertical="center"/>
      <protection/>
    </xf>
    <xf numFmtId="0" fontId="46" fillId="0" borderId="0" xfId="20" applyFont="1" applyBorder="1" applyAlignment="1">
      <alignment vertical="center"/>
      <protection/>
    </xf>
    <xf numFmtId="0" fontId="139" fillId="0" borderId="0" xfId="20" applyFont="1" applyBorder="1" applyAlignment="1">
      <alignment vertical="center"/>
      <protection/>
    </xf>
    <xf numFmtId="0" fontId="140" fillId="0" borderId="0" xfId="20" applyFont="1" applyBorder="1" applyAlignment="1">
      <alignment horizontal="center" vertical="center"/>
      <protection/>
    </xf>
    <xf numFmtId="0" fontId="140" fillId="0" borderId="0" xfId="20" applyFont="1" applyBorder="1" applyAlignment="1">
      <alignment horizontal="center" vertical="center" shrinkToFit="1"/>
      <protection/>
    </xf>
    <xf numFmtId="164" fontId="139" fillId="0" borderId="0" xfId="20" applyNumberFormat="1" applyFont="1" applyBorder="1" applyAlignment="1">
      <alignment vertical="center"/>
      <protection/>
    </xf>
    <xf numFmtId="0" fontId="139" fillId="0" borderId="0" xfId="20" applyFont="1" applyAlignment="1">
      <alignment vertical="center"/>
      <protection/>
    </xf>
    <xf numFmtId="0" fontId="141" fillId="0" borderId="0" xfId="20" applyFont="1" applyAlignment="1">
      <alignment vertical="center"/>
      <protection/>
    </xf>
    <xf numFmtId="165" fontId="142" fillId="5" borderId="1" xfId="20" applyNumberFormat="1" applyFont="1" applyFill="1" applyBorder="1" applyAlignment="1" applyProtection="1">
      <alignment horizontal="center" vertical="center" shrinkToFit="1"/>
      <protection locked="0"/>
    </xf>
    <xf numFmtId="0" fontId="139" fillId="0" borderId="0" xfId="20" applyFont="1" applyAlignment="1">
      <alignment horizontal="center" vertical="center" shrinkToFit="1"/>
      <protection/>
    </xf>
    <xf numFmtId="0" fontId="140" fillId="0" borderId="8" xfId="20" applyFont="1" applyBorder="1" applyAlignment="1">
      <alignment horizontal="center" vertical="center"/>
      <protection/>
    </xf>
    <xf numFmtId="172" fontId="139" fillId="0" borderId="0" xfId="20" applyNumberFormat="1" applyFont="1" applyBorder="1" applyAlignment="1">
      <alignment vertical="center"/>
      <protection/>
    </xf>
    <xf numFmtId="164" fontId="139" fillId="0" borderId="0" xfId="20" applyNumberFormat="1" applyFont="1" applyBorder="1" applyAlignment="1">
      <alignment horizontal="right" vertical="center"/>
      <protection/>
    </xf>
    <xf numFmtId="0" fontId="140" fillId="0" borderId="0" xfId="20" applyFont="1" applyAlignment="1">
      <alignment horizontal="center" vertical="center"/>
      <protection/>
    </xf>
    <xf numFmtId="164" fontId="139" fillId="0" borderId="0" xfId="20" applyNumberFormat="1" applyFont="1" applyAlignment="1">
      <alignment vertical="center"/>
      <protection/>
    </xf>
    <xf numFmtId="166" fontId="3" fillId="0" borderId="0" xfId="20" applyNumberFormat="1" applyFont="1" applyBorder="1" applyAlignment="1">
      <alignment vertical="center"/>
      <protection/>
    </xf>
    <xf numFmtId="0" fontId="68" fillId="0" borderId="0" xfId="20" applyFont="1" applyAlignment="1">
      <alignment horizontal="right" vertical="center" wrapText="1"/>
      <protection/>
    </xf>
    <xf numFmtId="165" fontId="3" fillId="0" borderId="8" xfId="20" applyNumberFormat="1" applyFont="1" applyBorder="1" applyAlignment="1" applyProtection="1">
      <alignment vertical="center"/>
      <protection locked="0"/>
    </xf>
    <xf numFmtId="0" fontId="21" fillId="0" borderId="0" xfId="20" applyFont="1" applyAlignment="1">
      <alignment horizontal="center" vertical="center" textRotation="180"/>
      <protection/>
    </xf>
    <xf numFmtId="0" fontId="68" fillId="0" borderId="0" xfId="20" applyFont="1" applyAlignment="1">
      <alignment horizontal="right" vertical="center" textRotation="90" wrapText="1"/>
      <protection/>
    </xf>
    <xf numFmtId="0" fontId="4" fillId="0" borderId="0" xfId="20" applyFont="1" applyAlignment="1">
      <alignment horizontal="left" vertical="center"/>
      <protection/>
    </xf>
    <xf numFmtId="0" fontId="24" fillId="0" borderId="0" xfId="20" applyFont="1" applyAlignment="1">
      <alignment vertical="center" textRotation="90"/>
      <protection/>
    </xf>
    <xf numFmtId="0" fontId="24" fillId="0" borderId="0" xfId="20" applyFont="1" applyAlignment="1" applyProtection="1">
      <alignment vertical="center" textRotation="90"/>
      <protection locked="0"/>
    </xf>
    <xf numFmtId="0" fontId="3" fillId="0" borderId="0" xfId="20" applyFont="1" applyAlignment="1" applyProtection="1">
      <alignment vertical="center"/>
      <protection locked="0"/>
    </xf>
    <xf numFmtId="0" fontId="4" fillId="0" borderId="10" xfId="20" applyFont="1" applyBorder="1" applyAlignment="1">
      <alignment vertical="center" wrapText="1"/>
      <protection/>
    </xf>
    <xf numFmtId="2" fontId="3" fillId="0" borderId="10" xfId="20" applyNumberFormat="1" applyFont="1" applyBorder="1" applyAlignment="1">
      <alignment vertical="center"/>
      <protection/>
    </xf>
    <xf numFmtId="0" fontId="87" fillId="0" borderId="0" xfId="20" applyFont="1" applyAlignment="1">
      <alignment vertical="center"/>
      <protection/>
    </xf>
    <xf numFmtId="0" fontId="3" fillId="0" borderId="2" xfId="20" applyFont="1" applyBorder="1" applyAlignment="1">
      <alignment vertical="center"/>
      <protection/>
    </xf>
    <xf numFmtId="0" fontId="5" fillId="0" borderId="2" xfId="20" applyFont="1" applyBorder="1" applyAlignment="1">
      <alignment horizontal="center" vertical="center"/>
      <protection/>
    </xf>
    <xf numFmtId="0" fontId="3" fillId="0" borderId="2" xfId="20" applyFont="1" applyBorder="1" applyAlignment="1">
      <alignment horizontal="center" vertical="center"/>
      <protection/>
    </xf>
    <xf numFmtId="2" fontId="3" fillId="0" borderId="2" xfId="20" applyNumberFormat="1" applyFont="1" applyBorder="1" applyAlignment="1">
      <alignment vertical="center"/>
      <protection/>
    </xf>
    <xf numFmtId="0" fontId="5" fillId="0" borderId="2" xfId="20" applyFont="1" applyBorder="1" applyAlignment="1">
      <alignment horizontal="center" vertical="center" shrinkToFit="1"/>
      <protection/>
    </xf>
    <xf numFmtId="164" fontId="3" fillId="0" borderId="2" xfId="20" applyNumberFormat="1" applyFont="1" applyBorder="1" applyAlignment="1">
      <alignment vertical="center"/>
      <protection/>
    </xf>
    <xf numFmtId="165" fontId="8" fillId="0" borderId="0" xfId="20" applyNumberFormat="1" applyFont="1" applyFill="1" applyBorder="1" applyAlignment="1" applyProtection="1">
      <alignment horizontal="center" vertical="center" shrinkToFit="1"/>
      <protection locked="0"/>
    </xf>
    <xf numFmtId="172" fontId="3" fillId="0" borderId="2" xfId="20" applyNumberFormat="1" applyFont="1" applyBorder="1" applyAlignment="1">
      <alignment vertical="center"/>
      <protection/>
    </xf>
    <xf numFmtId="164" fontId="3" fillId="0" borderId="2" xfId="20" applyNumberFormat="1" applyFont="1" applyBorder="1" applyAlignment="1">
      <alignment horizontal="right" vertical="center"/>
      <protection/>
    </xf>
    <xf numFmtId="0" fontId="4" fillId="0" borderId="4" xfId="20" applyFont="1" applyBorder="1" applyAlignment="1">
      <alignment horizontal="center" vertical="center"/>
      <protection/>
    </xf>
    <xf numFmtId="0" fontId="4" fillId="0" borderId="0" xfId="20" applyFont="1" applyAlignment="1">
      <alignment vertical="center" textRotation="90"/>
      <protection/>
    </xf>
    <xf numFmtId="2" fontId="3" fillId="0" borderId="0" xfId="20" applyNumberFormat="1" applyFont="1" applyBorder="1" applyAlignment="1">
      <alignment vertical="center"/>
      <protection/>
    </xf>
    <xf numFmtId="0" fontId="4" fillId="0" borderId="10" xfId="20" applyFont="1" applyBorder="1" applyAlignment="1">
      <alignment vertical="center"/>
      <protection/>
    </xf>
    <xf numFmtId="0" fontId="3" fillId="0" borderId="0" xfId="20" applyFont="1" applyAlignment="1">
      <alignment horizontal="center" vertical="center"/>
      <protection/>
    </xf>
    <xf numFmtId="0" fontId="4" fillId="0" borderId="0" xfId="20" applyFont="1" applyBorder="1" applyAlignment="1">
      <alignment horizontal="center" vertical="center"/>
      <protection/>
    </xf>
    <xf numFmtId="0" fontId="4" fillId="0" borderId="2" xfId="20" applyFont="1" applyBorder="1" applyAlignment="1">
      <alignment horizontal="center" vertical="center"/>
      <protection/>
    </xf>
    <xf numFmtId="0" fontId="4" fillId="0" borderId="0" xfId="20" applyFont="1" applyAlignment="1">
      <alignment vertical="center"/>
      <protection/>
    </xf>
    <xf numFmtId="0" fontId="21" fillId="0" borderId="0" xfId="20" applyFont="1" applyAlignment="1">
      <alignment horizontal="right" vertical="center" textRotation="90" wrapText="1"/>
      <protection/>
    </xf>
    <xf numFmtId="0" fontId="5" fillId="0" borderId="0" xfId="20" applyFont="1" applyAlignment="1">
      <alignment horizontal="right" vertical="center" wrapText="1" shrinkToFit="1"/>
      <protection/>
    </xf>
    <xf numFmtId="0" fontId="3" fillId="2" borderId="0" xfId="20" applyFont="1" applyFill="1" applyAlignment="1">
      <alignment horizontal="center" vertical="center"/>
      <protection/>
    </xf>
    <xf numFmtId="0" fontId="5" fillId="0" borderId="10" xfId="20" applyFont="1" applyBorder="1" applyAlignment="1">
      <alignment horizontal="right" vertical="center"/>
      <protection/>
    </xf>
    <xf numFmtId="164" fontId="3" fillId="0" borderId="0" xfId="20" applyNumberFormat="1" applyFont="1" applyAlignment="1">
      <alignment horizontal="center" vertical="center"/>
      <protection/>
    </xf>
    <xf numFmtId="0" fontId="24" fillId="0" borderId="0" xfId="20" applyFont="1" applyAlignment="1">
      <alignment horizontal="center" vertical="center"/>
      <protection/>
    </xf>
    <xf numFmtId="0" fontId="24" fillId="0" borderId="0" xfId="20" applyFont="1" applyAlignment="1" applyProtection="1">
      <alignment horizontal="center" vertical="center"/>
      <protection locked="0"/>
    </xf>
    <xf numFmtId="172" fontId="3" fillId="0" borderId="0" xfId="20" applyNumberFormat="1" applyFont="1" applyAlignment="1">
      <alignment horizontal="center" vertical="center"/>
      <protection/>
    </xf>
    <xf numFmtId="166" fontId="3" fillId="0" borderId="10" xfId="20" applyNumberFormat="1" applyFont="1" applyBorder="1" applyAlignment="1">
      <alignment vertical="center"/>
      <protection/>
    </xf>
    <xf numFmtId="166" fontId="3" fillId="0" borderId="2" xfId="20" applyNumberFormat="1" applyFont="1" applyBorder="1" applyAlignment="1">
      <alignment vertical="center"/>
      <protection/>
    </xf>
    <xf numFmtId="0" fontId="5" fillId="0" borderId="0" xfId="20" applyFont="1" applyAlignment="1">
      <alignment horizontal="center" vertical="center" textRotation="90"/>
      <protection/>
    </xf>
    <xf numFmtId="164" fontId="5" fillId="0" borderId="0" xfId="20" applyNumberFormat="1" applyFont="1" applyAlignment="1">
      <alignment vertical="center"/>
      <protection/>
    </xf>
    <xf numFmtId="172" fontId="5" fillId="0" borderId="0" xfId="20" applyNumberFormat="1" applyFont="1" applyAlignment="1">
      <alignment vertical="center"/>
      <protection/>
    </xf>
    <xf numFmtId="164" fontId="5" fillId="0" borderId="0" xfId="20" applyNumberFormat="1" applyFont="1" applyAlignment="1">
      <alignment horizontal="right" vertical="center"/>
      <protection/>
    </xf>
    <xf numFmtId="0" fontId="5" fillId="0" borderId="4" xfId="20" applyFont="1" applyBorder="1" applyAlignment="1">
      <alignment horizontal="right" vertical="center"/>
      <protection/>
    </xf>
    <xf numFmtId="165" fontId="3" fillId="5" borderId="0" xfId="20" applyNumberFormat="1" applyFont="1" applyFill="1" applyBorder="1" applyAlignment="1" applyProtection="1">
      <alignment horizontal="center" vertical="center" shrinkToFit="1"/>
      <protection locked="0"/>
    </xf>
    <xf numFmtId="0" fontId="24" fillId="0" borderId="0" xfId="20" applyFont="1" applyAlignment="1" applyProtection="1">
      <alignment vertical="center"/>
      <protection/>
    </xf>
    <xf numFmtId="0" fontId="19" fillId="0" borderId="0" xfId="20" applyFont="1" applyAlignment="1">
      <alignment vertical="center"/>
      <protection/>
    </xf>
    <xf numFmtId="0" fontId="35" fillId="0" borderId="0" xfId="20" applyFont="1" applyAlignment="1">
      <alignment horizontal="left" vertical="center" wrapText="1" shrinkToFit="1"/>
      <protection/>
    </xf>
    <xf numFmtId="0" fontId="35" fillId="0" borderId="0" xfId="20" applyFont="1" applyAlignment="1">
      <alignment horizontal="center" vertical="center"/>
      <protection/>
    </xf>
    <xf numFmtId="0" fontId="35" fillId="0" borderId="0" xfId="20" applyFont="1" applyAlignment="1">
      <alignment horizontal="center" vertical="center" shrinkToFit="1"/>
      <protection/>
    </xf>
    <xf numFmtId="164" fontId="19" fillId="0" borderId="0" xfId="20" applyNumberFormat="1" applyFont="1" applyBorder="1" applyAlignment="1">
      <alignment horizontal="center" vertical="center"/>
      <protection/>
    </xf>
    <xf numFmtId="0" fontId="83" fillId="0" borderId="0" xfId="20" applyFont="1" applyAlignment="1">
      <alignment vertical="center"/>
      <protection/>
    </xf>
    <xf numFmtId="165" fontId="19" fillId="0" borderId="8" xfId="20" applyNumberFormat="1" applyFont="1" applyBorder="1" applyAlignment="1" applyProtection="1">
      <alignment vertical="center"/>
      <protection locked="0"/>
    </xf>
    <xf numFmtId="172" fontId="19" fillId="0" borderId="0" xfId="20" applyNumberFormat="1" applyFont="1" applyAlignment="1">
      <alignment vertical="center"/>
      <protection/>
    </xf>
    <xf numFmtId="164" fontId="19" fillId="0" borderId="0" xfId="20" applyNumberFormat="1" applyFont="1" applyAlignment="1">
      <alignment horizontal="right" vertical="center"/>
      <protection/>
    </xf>
    <xf numFmtId="164" fontId="19" fillId="0" borderId="0" xfId="20" applyNumberFormat="1" applyFont="1" applyAlignment="1">
      <alignment vertical="center"/>
      <protection/>
    </xf>
    <xf numFmtId="0" fontId="35" fillId="0" borderId="0" xfId="20" applyFont="1" applyAlignment="1">
      <alignment vertical="center"/>
      <protection/>
    </xf>
    <xf numFmtId="0" fontId="35" fillId="0" borderId="0" xfId="20" applyFont="1" applyAlignment="1">
      <alignment horizontal="center" wrapText="1" shrinkToFit="1"/>
      <protection/>
    </xf>
    <xf numFmtId="0" fontId="83" fillId="0" borderId="0" xfId="20" applyFont="1" applyAlignment="1" applyProtection="1">
      <alignment vertical="center"/>
      <protection locked="0"/>
    </xf>
    <xf numFmtId="0" fontId="35" fillId="0" borderId="0" xfId="20" applyFont="1" applyAlignment="1">
      <alignment horizontal="center" vertical="center" wrapText="1" shrinkToFit="1"/>
      <protection/>
    </xf>
    <xf numFmtId="0" fontId="18" fillId="0" borderId="10" xfId="20" applyFont="1" applyBorder="1" applyAlignment="1">
      <alignment vertical="center"/>
      <protection/>
    </xf>
    <xf numFmtId="0" fontId="19" fillId="0" borderId="10" xfId="20" applyFont="1" applyBorder="1" applyAlignment="1">
      <alignment vertical="center"/>
      <protection/>
    </xf>
    <xf numFmtId="0" fontId="35" fillId="0" borderId="10" xfId="20" applyFont="1" applyBorder="1" applyAlignment="1">
      <alignment horizontal="center" vertical="center"/>
      <protection/>
    </xf>
    <xf numFmtId="2" fontId="19" fillId="0" borderId="10" xfId="20" applyNumberFormat="1" applyFont="1" applyBorder="1" applyAlignment="1">
      <alignment vertical="center"/>
      <protection/>
    </xf>
    <xf numFmtId="0" fontId="35" fillId="0" borderId="10" xfId="20" applyFont="1" applyBorder="1" applyAlignment="1">
      <alignment horizontal="center" vertical="center" shrinkToFit="1"/>
      <protection/>
    </xf>
    <xf numFmtId="164" fontId="19" fillId="0" borderId="10" xfId="20" applyNumberFormat="1" applyFont="1" applyBorder="1" applyAlignment="1">
      <alignment vertical="center"/>
      <protection/>
    </xf>
    <xf numFmtId="165" fontId="147" fillId="5" borderId="1" xfId="20" applyNumberFormat="1" applyFont="1" applyFill="1" applyBorder="1" applyAlignment="1" applyProtection="1">
      <alignment horizontal="center" vertical="center" shrinkToFit="1"/>
      <protection locked="0"/>
    </xf>
    <xf numFmtId="172" fontId="19" fillId="0" borderId="10" xfId="20" applyNumberFormat="1" applyFont="1" applyBorder="1" applyAlignment="1">
      <alignment vertical="center"/>
      <protection/>
    </xf>
    <xf numFmtId="164" fontId="19" fillId="0" borderId="10" xfId="20" applyNumberFormat="1" applyFont="1" applyBorder="1" applyAlignment="1">
      <alignment horizontal="right" vertical="center"/>
      <protection/>
    </xf>
    <xf numFmtId="0" fontId="18" fillId="0" borderId="0" xfId="20" applyFont="1" applyBorder="1" applyAlignment="1">
      <alignment vertical="center"/>
      <protection/>
    </xf>
    <xf numFmtId="0" fontId="19" fillId="0" borderId="0" xfId="20" applyFont="1" applyBorder="1" applyAlignment="1">
      <alignment vertical="center"/>
      <protection/>
    </xf>
    <xf numFmtId="0" fontId="35" fillId="0" borderId="0" xfId="20" applyFont="1" applyBorder="1" applyAlignment="1">
      <alignment horizontal="center" vertical="center"/>
      <protection/>
    </xf>
    <xf numFmtId="2" fontId="19" fillId="0" borderId="0" xfId="20" applyNumberFormat="1" applyFont="1" applyBorder="1" applyAlignment="1">
      <alignment vertical="center"/>
      <protection/>
    </xf>
    <xf numFmtId="0" fontId="35" fillId="0" borderId="0" xfId="20" applyFont="1" applyBorder="1" applyAlignment="1">
      <alignment horizontal="center" vertical="center" shrinkToFit="1"/>
      <protection/>
    </xf>
    <xf numFmtId="164" fontId="19" fillId="0" borderId="0" xfId="20" applyNumberFormat="1" applyFont="1" applyBorder="1" applyAlignment="1">
      <alignment vertical="center"/>
      <protection/>
    </xf>
    <xf numFmtId="172" fontId="19" fillId="0" borderId="0" xfId="20" applyNumberFormat="1" applyFont="1" applyBorder="1" applyAlignment="1">
      <alignment vertical="center"/>
      <protection/>
    </xf>
    <xf numFmtId="164" fontId="19" fillId="0" borderId="0" xfId="20" applyNumberFormat="1" applyFont="1" applyBorder="1" applyAlignment="1">
      <alignment horizontal="right" vertical="center"/>
      <protection/>
    </xf>
    <xf numFmtId="0" fontId="18" fillId="0" borderId="2" xfId="20" applyFont="1" applyBorder="1" applyAlignment="1">
      <alignment vertical="center"/>
      <protection/>
    </xf>
    <xf numFmtId="0" fontId="19" fillId="0" borderId="2" xfId="20" applyFont="1" applyBorder="1" applyAlignment="1">
      <alignment vertical="center"/>
      <protection/>
    </xf>
    <xf numFmtId="0" fontId="35" fillId="0" borderId="2" xfId="20" applyFont="1" applyBorder="1" applyAlignment="1">
      <alignment horizontal="center" vertical="center"/>
      <protection/>
    </xf>
    <xf numFmtId="2" fontId="19" fillId="0" borderId="2" xfId="20" applyNumberFormat="1" applyFont="1" applyBorder="1" applyAlignment="1">
      <alignment vertical="center"/>
      <protection/>
    </xf>
    <xf numFmtId="0" fontId="35" fillId="0" borderId="2" xfId="20" applyFont="1" applyBorder="1" applyAlignment="1">
      <alignment horizontal="center" vertical="center" shrinkToFit="1"/>
      <protection/>
    </xf>
    <xf numFmtId="164" fontId="19" fillId="0" borderId="2" xfId="20" applyNumberFormat="1" applyFont="1" applyBorder="1" applyAlignment="1">
      <alignment vertical="center"/>
      <protection/>
    </xf>
    <xf numFmtId="172" fontId="19" fillId="0" borderId="2" xfId="20" applyNumberFormat="1" applyFont="1" applyBorder="1" applyAlignment="1">
      <alignment vertical="center"/>
      <protection/>
    </xf>
    <xf numFmtId="164" fontId="19" fillId="0" borderId="2" xfId="20" applyNumberFormat="1" applyFont="1" applyBorder="1" applyAlignment="1">
      <alignment horizontal="right" vertical="center"/>
      <protection/>
    </xf>
    <xf numFmtId="0" fontId="5" fillId="7" borderId="0" xfId="20" applyFont="1" applyFill="1" applyAlignment="1">
      <alignment vertical="center"/>
      <protection/>
    </xf>
    <xf numFmtId="0" fontId="3" fillId="7" borderId="0" xfId="20" applyFont="1" applyFill="1" applyAlignment="1">
      <alignment vertical="center"/>
      <protection/>
    </xf>
    <xf numFmtId="0" fontId="5" fillId="7" borderId="0" xfId="20" applyFont="1" applyFill="1" applyAlignment="1">
      <alignment horizontal="center" vertical="center"/>
      <protection/>
    </xf>
    <xf numFmtId="0" fontId="5" fillId="7" borderId="0" xfId="20" applyFont="1" applyFill="1" applyAlignment="1">
      <alignment horizontal="center" vertical="center" shrinkToFit="1"/>
      <protection/>
    </xf>
    <xf numFmtId="164" fontId="3" fillId="7" borderId="0" xfId="20" applyNumberFormat="1" applyFont="1" applyFill="1" applyAlignment="1">
      <alignment vertical="center"/>
      <protection/>
    </xf>
    <xf numFmtId="0" fontId="24" fillId="7" borderId="0" xfId="20" applyFont="1" applyFill="1" applyAlignment="1">
      <alignment vertical="center"/>
      <protection/>
    </xf>
    <xf numFmtId="165" fontId="3" fillId="7" borderId="8" xfId="20" applyNumberFormat="1" applyFont="1" applyFill="1" applyBorder="1" applyAlignment="1" applyProtection="1">
      <alignment vertical="center"/>
      <protection locked="0"/>
    </xf>
    <xf numFmtId="0" fontId="3" fillId="7" borderId="0" xfId="20" applyFont="1" applyFill="1" applyAlignment="1">
      <alignment horizontal="center" vertical="center" shrinkToFit="1"/>
      <protection/>
    </xf>
    <xf numFmtId="0" fontId="5" fillId="7" borderId="8" xfId="20" applyFont="1" applyFill="1" applyBorder="1" applyAlignment="1">
      <alignment horizontal="center" vertical="center"/>
      <protection/>
    </xf>
    <xf numFmtId="172" fontId="3" fillId="7" borderId="0" xfId="20" applyNumberFormat="1" applyFont="1" applyFill="1" applyAlignment="1">
      <alignment vertical="center"/>
      <protection/>
    </xf>
    <xf numFmtId="164" fontId="3" fillId="7" borderId="0" xfId="20" applyNumberFormat="1" applyFont="1" applyFill="1" applyAlignment="1">
      <alignment horizontal="right" vertical="center"/>
      <protection/>
    </xf>
    <xf numFmtId="0" fontId="5" fillId="0" borderId="0" xfId="20" applyFont="1" applyAlignment="1">
      <alignment horizontal="left" wrapText="1" shrinkToFit="1"/>
      <protection/>
    </xf>
    <xf numFmtId="0" fontId="5" fillId="0" borderId="0" xfId="20" applyFont="1" applyAlignment="1">
      <alignment horizontal="center" wrapText="1" shrinkToFit="1"/>
      <protection/>
    </xf>
    <xf numFmtId="164" fontId="3" fillId="8" borderId="10" xfId="20" applyNumberFormat="1" applyFont="1" applyFill="1" applyBorder="1" applyAlignment="1" applyProtection="1">
      <alignment vertical="center"/>
      <protection locked="0"/>
    </xf>
    <xf numFmtId="164" fontId="3" fillId="8" borderId="0" xfId="20" applyNumberFormat="1" applyFont="1" applyFill="1" applyBorder="1" applyAlignment="1" applyProtection="1">
      <alignment vertical="center"/>
      <protection locked="0"/>
    </xf>
    <xf numFmtId="164" fontId="3" fillId="8" borderId="2" xfId="20" applyNumberFormat="1" applyFont="1" applyFill="1" applyBorder="1" applyAlignment="1" applyProtection="1">
      <alignment vertical="center"/>
      <protection locked="0"/>
    </xf>
    <xf numFmtId="172" fontId="3" fillId="2" borderId="0" xfId="20" applyNumberFormat="1" applyFont="1" applyFill="1" applyAlignment="1">
      <alignment vertical="center"/>
      <protection/>
    </xf>
    <xf numFmtId="0" fontId="3" fillId="9" borderId="0" xfId="20" applyFont="1" applyFill="1" applyAlignment="1">
      <alignment vertical="center"/>
      <protection/>
    </xf>
    <xf numFmtId="0" fontId="1" fillId="0" borderId="0" xfId="20" applyFont="1" applyAlignment="1">
      <alignment horizontal="center" vertical="center" wrapText="1"/>
      <protection/>
    </xf>
    <xf numFmtId="164" fontId="9" fillId="0" borderId="0" xfId="20" applyNumberFormat="1" applyFont="1" applyAlignment="1">
      <alignment horizontal="right" vertical="center"/>
      <protection/>
    </xf>
    <xf numFmtId="0" fontId="69" fillId="0" borderId="0" xfId="20" applyFont="1" applyAlignment="1">
      <alignment vertical="center"/>
      <protection/>
    </xf>
    <xf numFmtId="172" fontId="3" fillId="0" borderId="11" xfId="20" applyNumberFormat="1" applyFont="1" applyBorder="1" applyAlignment="1">
      <alignment vertical="center"/>
      <protection/>
    </xf>
    <xf numFmtId="0" fontId="5" fillId="0" borderId="11" xfId="20" applyFont="1" applyBorder="1" applyAlignment="1">
      <alignment horizontal="center" vertical="center"/>
      <protection/>
    </xf>
    <xf numFmtId="164" fontId="3" fillId="0" borderId="11" xfId="20" applyNumberFormat="1" applyFont="1" applyBorder="1" applyAlignment="1">
      <alignment horizontal="right" vertical="center"/>
      <protection/>
    </xf>
    <xf numFmtId="164" fontId="3" fillId="0" borderId="11" xfId="20" applyNumberFormat="1" applyFont="1" applyBorder="1" applyAlignment="1">
      <alignment vertical="center"/>
      <protection/>
    </xf>
    <xf numFmtId="0" fontId="18" fillId="4" borderId="12" xfId="20" applyFont="1" applyFill="1" applyBorder="1" applyAlignment="1">
      <alignment horizontal="center" vertical="center"/>
      <protection/>
    </xf>
    <xf numFmtId="0" fontId="64" fillId="8" borderId="13" xfId="20" applyFont="1" applyFill="1" applyBorder="1" applyAlignment="1">
      <alignment horizontal="right" vertical="center" wrapText="1"/>
      <protection/>
    </xf>
    <xf numFmtId="0" fontId="1" fillId="0" borderId="4" xfId="20" applyFont="1" applyBorder="1" applyAlignment="1">
      <alignment vertical="center"/>
      <protection/>
    </xf>
    <xf numFmtId="0" fontId="1" fillId="0" borderId="4" xfId="20" applyFont="1" applyBorder="1" applyAlignment="1">
      <alignment horizontal="center" vertical="center" shrinkToFit="1"/>
      <protection/>
    </xf>
    <xf numFmtId="164" fontId="1" fillId="0" borderId="4" xfId="20" applyNumberFormat="1" applyFont="1" applyBorder="1" applyAlignment="1">
      <alignment vertical="center"/>
      <protection/>
    </xf>
    <xf numFmtId="165" fontId="8" fillId="5" borderId="14" xfId="20" applyNumberFormat="1" applyFont="1" applyFill="1" applyBorder="1" applyAlignment="1" applyProtection="1">
      <alignment horizontal="center" vertical="center" shrinkToFit="1"/>
      <protection locked="0"/>
    </xf>
    <xf numFmtId="0" fontId="148" fillId="0" borderId="0" xfId="20" applyFont="1" applyAlignment="1">
      <alignment/>
      <protection/>
    </xf>
    <xf numFmtId="0" fontId="18" fillId="4" borderId="1" xfId="20" applyFont="1" applyFill="1" applyBorder="1" applyAlignment="1">
      <alignment horizontal="center" vertical="center"/>
      <protection/>
    </xf>
    <xf numFmtId="0" fontId="1" fillId="0" borderId="10" xfId="20" applyFont="1" applyBorder="1" applyAlignment="1">
      <alignment vertical="center"/>
      <protection/>
    </xf>
    <xf numFmtId="0" fontId="1" fillId="0" borderId="10" xfId="20" applyFont="1" applyBorder="1" applyAlignment="1">
      <alignment horizontal="center" vertical="center"/>
      <protection/>
    </xf>
    <xf numFmtId="0" fontId="1" fillId="0" borderId="10" xfId="20" applyFont="1" applyBorder="1" applyAlignment="1">
      <alignment horizontal="center" vertical="center" shrinkToFit="1"/>
      <protection/>
    </xf>
    <xf numFmtId="164" fontId="1" fillId="0" borderId="10" xfId="20" applyNumberFormat="1" applyFont="1" applyBorder="1" applyAlignment="1">
      <alignment vertical="center"/>
      <protection/>
    </xf>
    <xf numFmtId="0" fontId="1" fillId="0" borderId="0" xfId="20" applyFont="1" applyBorder="1" applyAlignment="1">
      <alignment vertical="center"/>
      <protection/>
    </xf>
    <xf numFmtId="0" fontId="1" fillId="0" borderId="0" xfId="20" applyFont="1" applyBorder="1" applyAlignment="1">
      <alignment horizontal="center" vertical="center"/>
      <protection/>
    </xf>
    <xf numFmtId="0" fontId="1" fillId="0" borderId="0" xfId="20" applyFont="1" applyBorder="1" applyAlignment="1">
      <alignment horizontal="center" vertical="center" shrinkToFit="1"/>
      <protection/>
    </xf>
    <xf numFmtId="164" fontId="1" fillId="0" borderId="0" xfId="20" applyNumberFormat="1" applyFont="1" applyBorder="1" applyAlignment="1">
      <alignment vertical="center"/>
      <protection/>
    </xf>
    <xf numFmtId="0" fontId="1" fillId="0" borderId="2" xfId="20" applyFont="1" applyBorder="1" applyAlignment="1">
      <alignment vertical="center"/>
      <protection/>
    </xf>
    <xf numFmtId="0" fontId="1" fillId="0" borderId="2" xfId="20" applyFont="1" applyBorder="1" applyAlignment="1">
      <alignment horizontal="center" vertical="center"/>
      <protection/>
    </xf>
    <xf numFmtId="0" fontId="1" fillId="0" borderId="2" xfId="20" applyFont="1" applyBorder="1" applyAlignment="1">
      <alignment horizontal="center" vertical="center" shrinkToFit="1"/>
      <protection/>
    </xf>
    <xf numFmtId="164" fontId="1" fillId="0" borderId="2" xfId="20" applyNumberFormat="1" applyFont="1" applyBorder="1" applyAlignment="1">
      <alignment vertical="center"/>
      <protection/>
    </xf>
    <xf numFmtId="0" fontId="4" fillId="0" borderId="0" xfId="20" applyFont="1" applyAlignment="1">
      <alignment horizontal="center" vertical="center"/>
      <protection/>
    </xf>
    <xf numFmtId="0" fontId="4" fillId="0" borderId="0" xfId="20" applyFont="1" applyAlignment="1">
      <alignment/>
      <protection/>
    </xf>
    <xf numFmtId="0" fontId="18" fillId="4" borderId="1" xfId="20" applyFont="1" applyFill="1" applyBorder="1" applyAlignment="1">
      <alignment horizontal="left" vertical="center"/>
      <protection/>
    </xf>
    <xf numFmtId="0" fontId="18" fillId="10" borderId="1" xfId="20" applyFont="1" applyFill="1" applyBorder="1" applyAlignment="1">
      <alignment horizontal="right" vertical="center"/>
      <protection/>
    </xf>
    <xf numFmtId="0" fontId="1" fillId="0" borderId="0" xfId="20" applyFont="1" applyAlignment="1">
      <alignment vertical="center"/>
      <protection/>
    </xf>
    <xf numFmtId="0" fontId="18" fillId="10" borderId="1" xfId="20" applyFont="1" applyFill="1" applyBorder="1" applyAlignment="1">
      <alignment horizontal="left" vertical="center"/>
      <protection/>
    </xf>
    <xf numFmtId="0" fontId="5" fillId="0" borderId="0" xfId="20" applyFont="1" applyFill="1" applyAlignment="1">
      <alignment vertical="center"/>
      <protection/>
    </xf>
    <xf numFmtId="0" fontId="3" fillId="3" borderId="0" xfId="20" applyFont="1" applyFill="1" applyAlignment="1">
      <alignment vertical="center"/>
      <protection/>
    </xf>
    <xf numFmtId="0" fontId="5" fillId="3" borderId="0" xfId="20" applyFont="1" applyFill="1" applyAlignment="1">
      <alignment horizontal="center" vertical="center"/>
      <protection/>
    </xf>
    <xf numFmtId="0" fontId="5" fillId="3" borderId="0" xfId="20" applyFont="1" applyFill="1" applyAlignment="1">
      <alignment horizontal="center" vertical="center" shrinkToFit="1"/>
      <protection/>
    </xf>
    <xf numFmtId="164" fontId="3" fillId="3" borderId="0" xfId="20" applyNumberFormat="1" applyFont="1" applyFill="1" applyAlignment="1">
      <alignment vertical="center"/>
      <protection/>
    </xf>
    <xf numFmtId="172" fontId="3" fillId="3" borderId="0" xfId="20" applyNumberFormat="1" applyFont="1" applyFill="1" applyAlignment="1">
      <alignment vertical="center"/>
      <protection/>
    </xf>
    <xf numFmtId="164" fontId="3" fillId="3" borderId="0" xfId="20" applyNumberFormat="1" applyFont="1" applyFill="1" applyAlignment="1">
      <alignment horizontal="right" vertical="center"/>
      <protection/>
    </xf>
    <xf numFmtId="0" fontId="18" fillId="2" borderId="1" xfId="20" applyFont="1" applyFill="1" applyBorder="1" applyAlignment="1">
      <alignment horizontal="center" vertical="center"/>
      <protection/>
    </xf>
    <xf numFmtId="0" fontId="19" fillId="0" borderId="8" xfId="20" applyFont="1" applyFill="1" applyBorder="1" applyAlignment="1">
      <alignment vertical="center"/>
      <protection/>
    </xf>
    <xf numFmtId="0" fontId="18" fillId="0" borderId="8" xfId="20" applyFont="1" applyFill="1" applyBorder="1" applyAlignment="1">
      <alignment horizontal="center" vertical="center"/>
      <protection/>
    </xf>
    <xf numFmtId="164" fontId="1" fillId="8" borderId="0" xfId="20" applyNumberFormat="1" applyFont="1" applyFill="1" applyBorder="1" applyAlignment="1" applyProtection="1">
      <alignment vertical="center"/>
      <protection locked="0"/>
    </xf>
    <xf numFmtId="164" fontId="1" fillId="8" borderId="2" xfId="20" applyNumberFormat="1" applyFont="1" applyFill="1" applyBorder="1" applyAlignment="1" applyProtection="1">
      <alignment vertical="center"/>
      <protection locked="0"/>
    </xf>
    <xf numFmtId="0" fontId="3" fillId="0" borderId="4" xfId="20" applyFont="1" applyBorder="1" applyAlignment="1">
      <alignment vertical="center"/>
      <protection/>
    </xf>
    <xf numFmtId="0" fontId="4" fillId="2" borderId="0" xfId="20" applyFont="1" applyFill="1" applyAlignment="1">
      <alignment vertical="center"/>
      <protection/>
    </xf>
    <xf numFmtId="0" fontId="5" fillId="2" borderId="0" xfId="20" applyFont="1" applyFill="1" applyAlignment="1">
      <alignment horizontal="center" vertical="center" shrinkToFit="1"/>
      <protection/>
    </xf>
    <xf numFmtId="0" fontId="5" fillId="3" borderId="0" xfId="20" applyFont="1" applyFill="1" applyAlignment="1">
      <alignment vertical="center"/>
      <protection/>
    </xf>
    <xf numFmtId="0" fontId="3" fillId="0" borderId="5" xfId="20" applyFont="1" applyBorder="1" applyAlignment="1">
      <alignment vertical="center"/>
      <protection/>
    </xf>
    <xf numFmtId="0" fontId="121" fillId="0" borderId="5" xfId="20" applyFont="1" applyBorder="1" applyAlignment="1">
      <alignment/>
      <protection/>
    </xf>
    <xf numFmtId="0" fontId="5" fillId="0" borderId="5" xfId="20" applyFont="1" applyBorder="1" applyAlignment="1">
      <alignment horizontal="center" vertical="center"/>
      <protection/>
    </xf>
    <xf numFmtId="0" fontId="5" fillId="0" borderId="5" xfId="20" applyFont="1" applyBorder="1" applyAlignment="1">
      <alignment horizontal="center" vertical="center" shrinkToFit="1"/>
      <protection/>
    </xf>
    <xf numFmtId="164" fontId="3" fillId="0" borderId="5" xfId="20" applyNumberFormat="1" applyFont="1" applyBorder="1" applyAlignment="1">
      <alignment vertical="center"/>
      <protection/>
    </xf>
    <xf numFmtId="164" fontId="3" fillId="0" borderId="5" xfId="20" applyNumberFormat="1" applyFont="1" applyBorder="1" applyAlignment="1">
      <alignment horizontal="center"/>
      <protection/>
    </xf>
    <xf numFmtId="0" fontId="3" fillId="0" borderId="0" xfId="20" applyFont="1" applyAlignment="1">
      <alignment/>
      <protection/>
    </xf>
    <xf numFmtId="0" fontId="149" fillId="0" borderId="0" xfId="20" applyFont="1" applyAlignment="1">
      <alignment horizontal="left" vertical="center"/>
      <protection/>
    </xf>
    <xf numFmtId="0" fontId="150" fillId="0" borderId="0" xfId="20" applyFont="1" applyBorder="1" applyAlignment="1">
      <alignment horizontal="center" vertical="center" shrinkToFit="1"/>
      <protection/>
    </xf>
    <xf numFmtId="164" fontId="150" fillId="0" borderId="0" xfId="20" applyNumberFormat="1" applyFont="1" applyBorder="1" applyAlignment="1">
      <alignment vertical="center"/>
      <protection/>
    </xf>
    <xf numFmtId="0" fontId="150" fillId="0" borderId="0" xfId="20" applyFont="1" applyBorder="1" applyAlignment="1">
      <alignment vertical="center"/>
      <protection/>
    </xf>
    <xf numFmtId="0" fontId="150" fillId="0" borderId="0" xfId="20" applyFont="1" applyAlignment="1">
      <alignment vertical="center"/>
      <protection/>
    </xf>
    <xf numFmtId="165" fontId="151" fillId="0" borderId="0" xfId="20" applyNumberFormat="1" applyFont="1" applyFill="1" applyBorder="1" applyAlignment="1" applyProtection="1">
      <alignment horizontal="center" vertical="center" shrinkToFit="1"/>
      <protection locked="0"/>
    </xf>
    <xf numFmtId="0" fontId="150" fillId="0" borderId="0" xfId="20" applyFont="1" applyAlignment="1">
      <alignment horizontal="center" vertical="center" shrinkToFit="1"/>
      <protection/>
    </xf>
    <xf numFmtId="0" fontId="150" fillId="0" borderId="8" xfId="20" applyFont="1" applyBorder="1" applyAlignment="1">
      <alignment horizontal="center" vertical="center"/>
      <protection/>
    </xf>
    <xf numFmtId="172" fontId="150" fillId="0" borderId="10" xfId="20" applyNumberFormat="1" applyFont="1" applyBorder="1" applyAlignment="1">
      <alignment vertical="center"/>
      <protection/>
    </xf>
    <xf numFmtId="0" fontId="150" fillId="0" borderId="10" xfId="20" applyFont="1" applyBorder="1" applyAlignment="1">
      <alignment horizontal="center" vertical="center"/>
      <protection/>
    </xf>
    <xf numFmtId="164" fontId="150" fillId="0" borderId="10" xfId="20" applyNumberFormat="1" applyFont="1" applyBorder="1" applyAlignment="1">
      <alignment horizontal="right" vertical="center"/>
      <protection/>
    </xf>
    <xf numFmtId="164" fontId="150" fillId="0" borderId="10" xfId="20" applyNumberFormat="1" applyFont="1" applyBorder="1" applyAlignment="1">
      <alignment vertical="center"/>
      <protection/>
    </xf>
    <xf numFmtId="172" fontId="150" fillId="0" borderId="0" xfId="20" applyNumberFormat="1" applyFont="1" applyBorder="1" applyAlignment="1">
      <alignment vertical="center"/>
      <protection/>
    </xf>
    <xf numFmtId="0" fontId="150" fillId="0" borderId="0" xfId="20" applyFont="1" applyBorder="1" applyAlignment="1">
      <alignment horizontal="center" vertical="center"/>
      <protection/>
    </xf>
    <xf numFmtId="164" fontId="150" fillId="0" borderId="0" xfId="20" applyNumberFormat="1" applyFont="1" applyBorder="1" applyAlignment="1">
      <alignment horizontal="right" vertical="center"/>
      <protection/>
    </xf>
    <xf numFmtId="0" fontId="4" fillId="0" borderId="4" xfId="20" applyFont="1" applyBorder="1" applyAlignment="1">
      <alignment horizontal="right" vertical="center"/>
      <protection/>
    </xf>
    <xf numFmtId="0" fontId="78" fillId="0" borderId="4" xfId="20" applyFont="1" applyBorder="1" applyAlignment="1">
      <alignment horizontal="center" vertical="center" shrinkToFit="1"/>
      <protection/>
    </xf>
    <xf numFmtId="164" fontId="3" fillId="0" borderId="4" xfId="20" applyNumberFormat="1" applyFont="1" applyBorder="1" applyAlignment="1">
      <alignment vertical="center"/>
      <protection/>
    </xf>
    <xf numFmtId="165" fontId="152" fillId="5" borderId="1" xfId="20" applyNumberFormat="1" applyFont="1" applyFill="1" applyBorder="1" applyAlignment="1" applyProtection="1">
      <alignment horizontal="center" vertical="center" shrinkToFit="1"/>
      <protection locked="0"/>
    </xf>
    <xf numFmtId="0" fontId="3" fillId="0" borderId="11" xfId="20" applyFont="1" applyBorder="1" applyAlignment="1">
      <alignment vertical="center"/>
      <protection/>
    </xf>
    <xf numFmtId="172" fontId="3" fillId="0" borderId="4" xfId="20" applyNumberFormat="1" applyFont="1" applyBorder="1" applyAlignment="1">
      <alignment vertical="center"/>
      <protection/>
    </xf>
    <xf numFmtId="0" fontId="5" fillId="0" borderId="4" xfId="20" applyFont="1" applyBorder="1" applyAlignment="1">
      <alignment horizontal="center" vertical="center"/>
      <protection/>
    </xf>
    <xf numFmtId="164" fontId="3" fillId="0" borderId="4" xfId="20" applyNumberFormat="1" applyFont="1" applyBorder="1" applyAlignment="1">
      <alignment horizontal="right" vertical="center"/>
      <protection/>
    </xf>
    <xf numFmtId="0" fontId="153" fillId="2" borderId="0" xfId="20" applyFont="1" applyFill="1" applyAlignment="1">
      <alignment horizontal="center" vertical="center"/>
      <protection/>
    </xf>
    <xf numFmtId="166" fontId="148" fillId="0" borderId="0" xfId="20" applyNumberFormat="1" applyFont="1" applyBorder="1" applyAlignment="1">
      <alignment horizontal="center" vertical="center" shrinkToFit="1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0" xfId="20" applyFont="1" applyFill="1" applyBorder="1" applyAlignment="1">
      <alignment horizontal="center" vertical="center"/>
      <protection/>
    </xf>
    <xf numFmtId="0" fontId="3" fillId="0" borderId="0" xfId="20" applyFont="1" applyFill="1" applyBorder="1" applyAlignment="1">
      <alignment/>
      <protection/>
    </xf>
    <xf numFmtId="0" fontId="5" fillId="0" borderId="0" xfId="20" applyFont="1" applyFill="1" applyBorder="1" applyAlignment="1">
      <alignment horizontal="center" vertical="center" shrinkToFit="1"/>
      <protection/>
    </xf>
    <xf numFmtId="164" fontId="3" fillId="0" borderId="0" xfId="20" applyNumberFormat="1" applyFont="1" applyFill="1" applyBorder="1" applyAlignment="1">
      <alignment vertical="center"/>
      <protection/>
    </xf>
    <xf numFmtId="0" fontId="24" fillId="0" borderId="0" xfId="20" applyFont="1" applyFill="1" applyBorder="1" applyAlignment="1">
      <alignment vertical="center"/>
      <protection/>
    </xf>
    <xf numFmtId="0" fontId="24" fillId="0" borderId="0" xfId="20" applyFont="1" applyFill="1" applyBorder="1" applyAlignment="1" applyProtection="1">
      <alignment vertical="center"/>
      <protection locked="0"/>
    </xf>
    <xf numFmtId="0" fontId="3" fillId="0" borderId="0" xfId="20" applyFont="1" applyFill="1" applyBorder="1" applyAlignment="1">
      <alignment horizontal="center" vertical="center" shrinkToFit="1"/>
      <protection/>
    </xf>
    <xf numFmtId="172" fontId="3" fillId="0" borderId="0" xfId="20" applyNumberFormat="1" applyFont="1" applyFill="1" applyBorder="1" applyAlignment="1">
      <alignment/>
      <protection/>
    </xf>
    <xf numFmtId="164" fontId="3" fillId="0" borderId="0" xfId="20" applyNumberFormat="1" applyFont="1" applyFill="1" applyBorder="1" applyAlignment="1">
      <alignment horizontal="right" vertical="center"/>
      <protection/>
    </xf>
    <xf numFmtId="164" fontId="4" fillId="0" borderId="0" xfId="20" applyNumberFormat="1" applyFont="1" applyFill="1" applyBorder="1" applyAlignment="1">
      <alignment horizontal="left"/>
      <protection/>
    </xf>
    <xf numFmtId="164" fontId="3" fillId="0" borderId="0" xfId="20" applyNumberFormat="1" applyFont="1" applyFill="1" applyBorder="1" applyAlignment="1">
      <alignment/>
      <protection/>
    </xf>
    <xf numFmtId="0" fontId="38" fillId="0" borderId="0" xfId="20" applyFont="1" applyFill="1" applyBorder="1" applyAlignment="1">
      <alignment vertical="center"/>
      <protection/>
    </xf>
    <xf numFmtId="2" fontId="7" fillId="0" borderId="0" xfId="18" applyNumberFormat="1" applyFont="1" applyFill="1" applyBorder="1" applyAlignment="1" quotePrefix="1">
      <alignment horizontal="center"/>
    </xf>
    <xf numFmtId="0" fontId="43" fillId="0" borderId="0" xfId="20" applyFont="1" applyFill="1" applyBorder="1" applyAlignment="1">
      <alignment vertical="center"/>
      <protection/>
    </xf>
    <xf numFmtId="0" fontId="43" fillId="0" borderId="0" xfId="20" applyFont="1" applyFill="1" applyBorder="1" applyAlignment="1" applyProtection="1">
      <alignment vertical="center"/>
      <protection locked="0"/>
    </xf>
    <xf numFmtId="172" fontId="5" fillId="0" borderId="0" xfId="20" applyNumberFormat="1" applyFont="1" applyFill="1" applyBorder="1" applyAlignment="1">
      <alignment horizontal="center" vertical="center"/>
      <protection/>
    </xf>
    <xf numFmtId="0" fontId="3" fillId="2" borderId="0" xfId="20" applyFont="1" applyFill="1" applyBorder="1" applyAlignment="1">
      <alignment vertical="center"/>
      <protection/>
    </xf>
    <xf numFmtId="0" fontId="5" fillId="2" borderId="0" xfId="20" applyFont="1" applyFill="1" applyBorder="1" applyAlignment="1">
      <alignment vertical="center"/>
      <protection/>
    </xf>
    <xf numFmtId="0" fontId="7" fillId="2" borderId="0" xfId="18" applyFill="1" applyBorder="1" applyAlignment="1">
      <alignment/>
    </xf>
    <xf numFmtId="0" fontId="5" fillId="2" borderId="0" xfId="20" applyFont="1" applyFill="1" applyBorder="1" applyAlignment="1">
      <alignment horizontal="center" vertical="center"/>
      <protection/>
    </xf>
    <xf numFmtId="0" fontId="5" fillId="2" borderId="0" xfId="20" applyFont="1" applyFill="1" applyBorder="1" applyAlignment="1">
      <alignment horizontal="center" vertical="center" shrinkToFit="1"/>
      <protection/>
    </xf>
    <xf numFmtId="164" fontId="3" fillId="2" borderId="0" xfId="20" applyNumberFormat="1" applyFont="1" applyFill="1" applyBorder="1" applyAlignment="1">
      <alignment vertical="center"/>
      <protection/>
    </xf>
    <xf numFmtId="0" fontId="43" fillId="2" borderId="0" xfId="20" applyFont="1" applyFill="1" applyBorder="1" applyAlignment="1">
      <alignment vertical="center"/>
      <protection/>
    </xf>
    <xf numFmtId="0" fontId="43" fillId="2" borderId="0" xfId="20" applyFont="1" applyFill="1" applyBorder="1" applyAlignment="1" applyProtection="1">
      <alignment vertical="center"/>
      <protection locked="0"/>
    </xf>
    <xf numFmtId="0" fontId="3" fillId="2" borderId="0" xfId="20" applyFont="1" applyFill="1" applyBorder="1" applyAlignment="1">
      <alignment horizontal="center" vertical="center" shrinkToFit="1"/>
      <protection/>
    </xf>
    <xf numFmtId="172" fontId="5" fillId="2" borderId="0" xfId="20" applyNumberFormat="1" applyFont="1" applyFill="1" applyBorder="1" applyAlignment="1">
      <alignment horizontal="center" vertical="center"/>
      <protection/>
    </xf>
    <xf numFmtId="164" fontId="3" fillId="2" borderId="0" xfId="20" applyNumberFormat="1" applyFont="1" applyFill="1" applyBorder="1" applyAlignment="1">
      <alignment horizontal="right" vertical="center"/>
      <protection/>
    </xf>
    <xf numFmtId="0" fontId="8" fillId="2" borderId="0" xfId="20" applyFont="1" applyFill="1" applyBorder="1" applyAlignment="1">
      <alignment horizontal="center" vertical="center"/>
      <protection/>
    </xf>
    <xf numFmtId="0" fontId="81" fillId="2" borderId="0" xfId="20" applyFont="1" applyFill="1" applyBorder="1" applyAlignment="1">
      <alignment horizontal="right" vertical="center" textRotation="90" wrapText="1"/>
      <protection/>
    </xf>
    <xf numFmtId="0" fontId="98" fillId="2" borderId="0" xfId="20" applyNumberFormat="1" applyFont="1" applyFill="1" applyBorder="1" applyAlignment="1">
      <alignment vertical="center" wrapText="1"/>
      <protection/>
    </xf>
    <xf numFmtId="0" fontId="24" fillId="2" borderId="0" xfId="20" applyFont="1" applyFill="1" applyBorder="1" applyAlignment="1">
      <alignment vertical="center"/>
      <protection/>
    </xf>
    <xf numFmtId="165" fontId="8" fillId="2" borderId="0" xfId="20" applyNumberFormat="1" applyFont="1" applyFill="1" applyBorder="1" applyAlignment="1" applyProtection="1">
      <alignment horizontal="center" vertical="center" shrinkToFit="1"/>
      <protection locked="0"/>
    </xf>
    <xf numFmtId="0" fontId="3" fillId="2" borderId="0" xfId="20" applyFont="1" applyFill="1" applyBorder="1" applyAlignment="1">
      <alignment horizontal="center" vertical="center" textRotation="90"/>
      <protection/>
    </xf>
    <xf numFmtId="165" fontId="3" fillId="2" borderId="0" xfId="20" applyNumberFormat="1" applyFont="1" applyFill="1" applyBorder="1" applyAlignment="1">
      <alignment vertical="center"/>
      <protection/>
    </xf>
    <xf numFmtId="166" fontId="35" fillId="2" borderId="0" xfId="20" applyNumberFormat="1" applyFont="1" applyFill="1" applyBorder="1" applyAlignment="1" applyProtection="1">
      <alignment horizontal="center" vertical="center" textRotation="90" shrinkToFit="1"/>
      <protection/>
    </xf>
    <xf numFmtId="1" fontId="19" fillId="2" borderId="0" xfId="20" applyNumberFormat="1" applyFont="1" applyFill="1" applyBorder="1" applyAlignment="1" applyProtection="1">
      <alignment horizontal="center" vertical="center" textRotation="90" shrinkToFit="1"/>
      <protection/>
    </xf>
    <xf numFmtId="164" fontId="50" fillId="2" borderId="0" xfId="20" applyNumberFormat="1" applyFont="1" applyFill="1" applyBorder="1" applyAlignment="1">
      <alignment horizontal="center" vertical="center"/>
      <protection/>
    </xf>
    <xf numFmtId="165" fontId="3" fillId="2" borderId="0" xfId="20" applyNumberFormat="1" applyFont="1" applyFill="1" applyBorder="1" applyAlignment="1" applyProtection="1">
      <alignment vertical="center"/>
      <protection locked="0"/>
    </xf>
    <xf numFmtId="172" fontId="3" fillId="2" borderId="0" xfId="20" applyNumberFormat="1" applyFont="1" applyFill="1" applyBorder="1" applyAlignment="1">
      <alignment vertical="center"/>
      <protection/>
    </xf>
    <xf numFmtId="164" fontId="5" fillId="2" borderId="0" xfId="20" applyNumberFormat="1" applyFont="1" applyFill="1" applyBorder="1" applyAlignment="1">
      <alignment horizontal="center" vertical="center"/>
      <protection/>
    </xf>
    <xf numFmtId="165" fontId="3" fillId="0" borderId="0" xfId="20" applyNumberFormat="1" applyFont="1" applyFill="1" applyBorder="1" applyAlignment="1" applyProtection="1">
      <alignment vertical="center"/>
      <protection locked="0"/>
    </xf>
    <xf numFmtId="172" fontId="3" fillId="0" borderId="0" xfId="20" applyNumberFormat="1" applyFont="1" applyFill="1" applyBorder="1" applyAlignment="1">
      <alignment vertical="center"/>
      <protection/>
    </xf>
    <xf numFmtId="0" fontId="154" fillId="3" borderId="0" xfId="20" applyFont="1" applyFill="1" applyAlignment="1">
      <alignment vertical="center"/>
      <protection/>
    </xf>
    <xf numFmtId="0" fontId="155" fillId="3" borderId="0" xfId="20" applyFont="1" applyFill="1" applyAlignment="1">
      <alignment vertical="center"/>
      <protection/>
    </xf>
    <xf numFmtId="164" fontId="5" fillId="3" borderId="0" xfId="20" applyNumberFormat="1" applyFont="1" applyFill="1" applyAlignment="1">
      <alignment vertical="center"/>
      <protection/>
    </xf>
    <xf numFmtId="165" fontId="3" fillId="3" borderId="8" xfId="20" applyNumberFormat="1" applyFont="1" applyFill="1" applyBorder="1" applyAlignment="1" applyProtection="1">
      <alignment vertical="center"/>
      <protection locked="0"/>
    </xf>
    <xf numFmtId="0" fontId="5" fillId="3" borderId="8" xfId="20" applyFont="1" applyFill="1" applyBorder="1" applyAlignment="1">
      <alignment horizontal="center" vertical="center"/>
      <protection/>
    </xf>
    <xf numFmtId="172" fontId="5" fillId="3" borderId="0" xfId="20" applyNumberFormat="1" applyFont="1" applyFill="1" applyAlignment="1">
      <alignment vertical="center"/>
      <protection/>
    </xf>
    <xf numFmtId="164" fontId="5" fillId="3" borderId="0" xfId="20" applyNumberFormat="1" applyFont="1" applyFill="1" applyAlignment="1">
      <alignment horizontal="right" vertical="center"/>
      <protection/>
    </xf>
    <xf numFmtId="0" fontId="156" fillId="0" borderId="0" xfId="20" applyFont="1" applyAlignment="1">
      <alignment vertical="center"/>
      <protection/>
    </xf>
    <xf numFmtId="0" fontId="5" fillId="0" borderId="4" xfId="20" applyFont="1" applyFill="1" applyBorder="1" applyAlignment="1">
      <alignment vertical="center"/>
      <protection/>
    </xf>
    <xf numFmtId="0" fontId="5" fillId="2" borderId="4" xfId="20" applyFont="1" applyFill="1" applyBorder="1" applyAlignment="1">
      <alignment horizontal="center" vertical="center" shrinkToFit="1"/>
      <protection/>
    </xf>
    <xf numFmtId="164" fontId="3" fillId="2" borderId="4" xfId="20" applyNumberFormat="1" applyFont="1" applyFill="1" applyBorder="1" applyAlignment="1">
      <alignment vertical="center"/>
      <protection/>
    </xf>
    <xf numFmtId="0" fontId="3" fillId="2" borderId="4" xfId="20" applyFont="1" applyFill="1" applyBorder="1" applyAlignment="1">
      <alignment vertical="center"/>
      <protection/>
    </xf>
    <xf numFmtId="0" fontId="4" fillId="0" borderId="0" xfId="20" applyFont="1" applyBorder="1" applyAlignment="1">
      <alignment horizontal="right" vertical="center"/>
      <protection/>
    </xf>
    <xf numFmtId="173" fontId="8" fillId="5" borderId="1" xfId="20" applyNumberFormat="1" applyFont="1" applyFill="1" applyBorder="1" applyAlignment="1" applyProtection="1">
      <alignment horizontal="center" vertical="center" shrinkToFit="1"/>
      <protection locked="0"/>
    </xf>
    <xf numFmtId="0" fontId="5" fillId="2" borderId="15" xfId="20" applyFont="1" applyFill="1" applyBorder="1" applyAlignment="1">
      <alignment vertical="center"/>
      <protection/>
    </xf>
    <xf numFmtId="0" fontId="4" fillId="0" borderId="15" xfId="20" applyFont="1" applyBorder="1" applyAlignment="1">
      <alignment horizontal="right" vertical="center"/>
      <protection/>
    </xf>
    <xf numFmtId="0" fontId="1" fillId="0" borderId="15" xfId="20" applyFont="1" applyBorder="1" applyAlignment="1">
      <alignment vertical="center"/>
      <protection/>
    </xf>
    <xf numFmtId="164" fontId="1" fillId="0" borderId="15" xfId="20" applyNumberFormat="1" applyFont="1" applyBorder="1" applyAlignment="1">
      <alignment vertical="center"/>
      <protection/>
    </xf>
    <xf numFmtId="0" fontId="3" fillId="0" borderId="15" xfId="20" applyFont="1" applyBorder="1" applyAlignment="1">
      <alignment vertical="center"/>
      <protection/>
    </xf>
    <xf numFmtId="172" fontId="3" fillId="0" borderId="15" xfId="20" applyNumberFormat="1" applyFont="1" applyBorder="1" applyAlignment="1">
      <alignment vertical="center"/>
      <protection/>
    </xf>
    <xf numFmtId="0" fontId="5" fillId="0" borderId="15" xfId="20" applyFont="1" applyBorder="1" applyAlignment="1">
      <alignment horizontal="center" vertical="center"/>
      <protection/>
    </xf>
    <xf numFmtId="164" fontId="3" fillId="0" borderId="15" xfId="20" applyNumberFormat="1" applyFont="1" applyBorder="1" applyAlignment="1">
      <alignment horizontal="right" vertical="center"/>
      <protection/>
    </xf>
    <xf numFmtId="164" fontId="3" fillId="0" borderId="15" xfId="20" applyNumberFormat="1" applyFont="1" applyBorder="1" applyAlignment="1">
      <alignment vertical="center"/>
      <protection/>
    </xf>
    <xf numFmtId="0" fontId="8" fillId="2" borderId="2" xfId="20" applyFont="1" applyFill="1" applyBorder="1" applyAlignment="1">
      <alignment horizontal="center" vertical="center"/>
      <protection/>
    </xf>
    <xf numFmtId="165" fontId="3" fillId="4" borderId="8" xfId="20" applyNumberFormat="1" applyFont="1" applyFill="1" applyBorder="1" applyAlignment="1" applyProtection="1">
      <alignment vertical="center"/>
      <protection locked="0"/>
    </xf>
    <xf numFmtId="164" fontId="3" fillId="0" borderId="16" xfId="20" applyNumberFormat="1" applyFont="1" applyBorder="1" applyAlignment="1">
      <alignment horizontal="left" vertical="center"/>
      <protection/>
    </xf>
    <xf numFmtId="0" fontId="7" fillId="0" borderId="0" xfId="18" applyAlignment="1">
      <alignment vertical="center"/>
    </xf>
    <xf numFmtId="164" fontId="103" fillId="0" borderId="0" xfId="20" applyNumberFormat="1" applyFont="1" applyAlignment="1">
      <alignment horizontal="right" vertical="center"/>
      <protection/>
    </xf>
    <xf numFmtId="0" fontId="4" fillId="8" borderId="4" xfId="20" applyFont="1" applyFill="1" applyBorder="1" applyAlignment="1">
      <alignment vertical="center"/>
      <protection/>
    </xf>
    <xf numFmtId="0" fontId="3" fillId="8" borderId="4" xfId="20" applyFont="1" applyFill="1" applyBorder="1" applyAlignment="1">
      <alignment vertical="center"/>
      <protection/>
    </xf>
    <xf numFmtId="0" fontId="3" fillId="8" borderId="4" xfId="20" applyFont="1" applyFill="1" applyBorder="1" applyAlignment="1">
      <alignment horizontal="center" vertical="center" shrinkToFit="1"/>
      <protection/>
    </xf>
    <xf numFmtId="0" fontId="5" fillId="8" borderId="4" xfId="20" applyFont="1" applyFill="1" applyBorder="1" applyAlignment="1">
      <alignment horizontal="center" vertical="center"/>
      <protection/>
    </xf>
    <xf numFmtId="172" fontId="3" fillId="4" borderId="4" xfId="20" applyNumberFormat="1" applyFont="1" applyFill="1" applyBorder="1" applyAlignment="1">
      <alignment vertical="center"/>
      <protection/>
    </xf>
    <xf numFmtId="0" fontId="5" fillId="4" borderId="4" xfId="20" applyFont="1" applyFill="1" applyBorder="1" applyAlignment="1">
      <alignment horizontal="center" vertical="center"/>
      <protection/>
    </xf>
    <xf numFmtId="0" fontId="5" fillId="0" borderId="4" xfId="20" applyFont="1" applyBorder="1" applyAlignment="1">
      <alignment horizontal="center" vertical="center" shrinkToFit="1"/>
      <protection/>
    </xf>
    <xf numFmtId="0" fontId="24" fillId="0" borderId="4" xfId="20" applyFont="1" applyBorder="1" applyAlignment="1">
      <alignment vertical="center"/>
      <protection/>
    </xf>
    <xf numFmtId="0" fontId="3" fillId="0" borderId="4" xfId="20" applyFont="1" applyBorder="1" applyAlignment="1">
      <alignment horizontal="center" vertical="center" shrinkToFit="1"/>
      <protection/>
    </xf>
    <xf numFmtId="0" fontId="1" fillId="0" borderId="0" xfId="20" applyFont="1" applyAlignment="1">
      <alignment horizontal="left" vertical="center"/>
      <protection/>
    </xf>
    <xf numFmtId="164" fontId="1" fillId="0" borderId="0" xfId="20" applyNumberFormat="1" applyFont="1" applyAlignment="1">
      <alignment vertical="center"/>
      <protection/>
    </xf>
    <xf numFmtId="0" fontId="1" fillId="0" borderId="0" xfId="20" applyFont="1" applyAlignment="1">
      <alignment horizontal="center" vertical="center" shrinkToFit="1"/>
      <protection/>
    </xf>
    <xf numFmtId="0" fontId="24" fillId="2" borderId="0" xfId="20" applyFont="1" applyFill="1" applyAlignment="1">
      <alignment vertical="center"/>
      <protection/>
    </xf>
    <xf numFmtId="0" fontId="3" fillId="2" borderId="0" xfId="20" applyFont="1" applyFill="1" applyAlignment="1">
      <alignment horizontal="center" vertical="center" shrinkToFit="1"/>
      <protection/>
    </xf>
    <xf numFmtId="9" fontId="3" fillId="0" borderId="0" xfId="20" applyNumberFormat="1" applyFont="1" applyAlignment="1">
      <alignment vertical="center"/>
      <protection/>
    </xf>
    <xf numFmtId="0" fontId="62" fillId="2" borderId="0" xfId="20" applyFont="1" applyFill="1" applyAlignment="1">
      <alignment vertical="center"/>
      <protection/>
    </xf>
    <xf numFmtId="0" fontId="62" fillId="0" borderId="0" xfId="20" applyFont="1" applyAlignment="1">
      <alignment vertical="center"/>
      <protection/>
    </xf>
    <xf numFmtId="0" fontId="62" fillId="0" borderId="0" xfId="20" applyFont="1" applyAlignment="1">
      <alignment horizontal="center" vertical="center" shrinkToFit="1"/>
      <protection/>
    </xf>
    <xf numFmtId="169" fontId="62" fillId="0" borderId="0" xfId="20" applyNumberFormat="1" applyFont="1" applyAlignment="1" applyProtection="1">
      <alignment horizontal="center" vertical="center" shrinkToFit="1"/>
      <protection/>
    </xf>
    <xf numFmtId="169" fontId="21" fillId="0" borderId="0" xfId="20" applyNumberFormat="1" applyFont="1" applyAlignment="1" applyProtection="1">
      <alignment horizontal="center" vertical="center" shrinkToFit="1"/>
      <protection/>
    </xf>
    <xf numFmtId="0" fontId="4" fillId="0" borderId="4" xfId="20" applyFont="1" applyBorder="1" applyAlignment="1">
      <alignment vertical="center"/>
      <protection/>
    </xf>
    <xf numFmtId="0" fontId="24" fillId="0" borderId="0" xfId="20" applyFont="1" applyBorder="1" applyAlignment="1">
      <alignment vertical="center"/>
      <protection/>
    </xf>
    <xf numFmtId="0" fontId="3" fillId="0" borderId="0" xfId="20" applyFont="1" applyBorder="1" applyAlignment="1">
      <alignment horizontal="center" vertical="center" shrinkToFit="1"/>
      <protection/>
    </xf>
    <xf numFmtId="0" fontId="8" fillId="2" borderId="10" xfId="20" applyFont="1" applyFill="1" applyBorder="1" applyAlignment="1">
      <alignment horizontal="left" vertical="center"/>
      <protection/>
    </xf>
    <xf numFmtId="0" fontId="3" fillId="0" borderId="10" xfId="20" applyFont="1" applyBorder="1" applyAlignment="1">
      <alignment horizontal="right" vertical="center"/>
      <protection/>
    </xf>
    <xf numFmtId="0" fontId="24" fillId="0" borderId="10" xfId="20" applyFont="1" applyBorder="1" applyAlignment="1">
      <alignment vertical="center"/>
      <protection/>
    </xf>
    <xf numFmtId="0" fontId="3" fillId="0" borderId="10" xfId="20" applyFont="1" applyBorder="1" applyAlignment="1">
      <alignment horizontal="center" vertical="center" shrinkToFit="1"/>
      <protection/>
    </xf>
    <xf numFmtId="0" fontId="8" fillId="2" borderId="0" xfId="20" applyFont="1" applyFill="1" applyBorder="1" applyAlignment="1">
      <alignment horizontal="left" vertical="center"/>
      <protection/>
    </xf>
    <xf numFmtId="0" fontId="3" fillId="0" borderId="0" xfId="20" applyFont="1" applyBorder="1" applyAlignment="1">
      <alignment horizontal="right" vertical="center"/>
      <protection/>
    </xf>
    <xf numFmtId="0" fontId="8" fillId="2" borderId="15" xfId="20" applyFont="1" applyFill="1" applyBorder="1" applyAlignment="1">
      <alignment horizontal="left" vertical="center"/>
      <protection/>
    </xf>
    <xf numFmtId="0" fontId="3" fillId="0" borderId="15" xfId="20" applyFont="1" applyBorder="1" applyAlignment="1">
      <alignment horizontal="right" vertical="center"/>
      <protection/>
    </xf>
    <xf numFmtId="0" fontId="5" fillId="0" borderId="15" xfId="20" applyFont="1" applyBorder="1" applyAlignment="1">
      <alignment horizontal="center" vertical="center" shrinkToFit="1"/>
      <protection/>
    </xf>
    <xf numFmtId="0" fontId="24" fillId="0" borderId="15" xfId="20" applyFont="1" applyBorder="1" applyAlignment="1">
      <alignment vertical="center"/>
      <protection/>
    </xf>
    <xf numFmtId="0" fontId="3" fillId="0" borderId="15" xfId="20" applyFont="1" applyBorder="1" applyAlignment="1">
      <alignment horizontal="center" vertical="center" shrinkToFit="1"/>
      <protection/>
    </xf>
    <xf numFmtId="0" fontId="24" fillId="3" borderId="0" xfId="20" applyFont="1" applyFill="1" applyAlignment="1">
      <alignment vertical="center"/>
      <protection/>
    </xf>
    <xf numFmtId="0" fontId="3" fillId="3" borderId="0" xfId="20" applyFont="1" applyFill="1" applyAlignment="1">
      <alignment horizontal="center" vertical="center" shrinkToFit="1"/>
      <protection/>
    </xf>
    <xf numFmtId="0" fontId="8" fillId="2" borderId="0" xfId="20" applyFont="1" applyFill="1" applyAlignment="1">
      <alignment horizontal="center" vertical="center" shrinkToFit="1"/>
      <protection/>
    </xf>
    <xf numFmtId="0" fontId="3" fillId="2" borderId="0" xfId="20" applyFont="1" applyFill="1" applyAlignment="1">
      <alignment vertical="center" shrinkToFit="1"/>
      <protection/>
    </xf>
    <xf numFmtId="164" fontId="3" fillId="2" borderId="0" xfId="20" applyNumberFormat="1" applyFont="1" applyFill="1" applyAlignment="1">
      <alignment vertical="center" shrinkToFit="1"/>
      <protection/>
    </xf>
    <xf numFmtId="0" fontId="24" fillId="2" borderId="0" xfId="20" applyFont="1" applyFill="1" applyAlignment="1">
      <alignment vertical="center" shrinkToFit="1"/>
      <protection/>
    </xf>
    <xf numFmtId="164" fontId="3" fillId="2" borderId="0" xfId="20" applyNumberFormat="1" applyFont="1" applyFill="1" applyAlignment="1">
      <alignment horizontal="right" vertical="center" shrinkToFit="1"/>
      <protection/>
    </xf>
    <xf numFmtId="0" fontId="5" fillId="2" borderId="0" xfId="20" applyFont="1" applyFill="1" applyAlignment="1">
      <alignment vertical="center" shrinkToFit="1"/>
      <protection/>
    </xf>
    <xf numFmtId="0" fontId="8" fillId="2" borderId="0" xfId="20" applyFont="1" applyFill="1" applyAlignment="1">
      <alignment vertical="center" shrinkToFit="1"/>
      <protection/>
    </xf>
    <xf numFmtId="0" fontId="64" fillId="2" borderId="0" xfId="20" applyFont="1" applyFill="1" applyAlignment="1">
      <alignment horizontal="left" vertical="center" shrinkToFit="1"/>
      <protection/>
    </xf>
    <xf numFmtId="9" fontId="3" fillId="2" borderId="0" xfId="20" applyNumberFormat="1" applyFont="1" applyFill="1" applyAlignment="1">
      <alignment vertical="center" shrinkToFit="1"/>
      <protection/>
    </xf>
    <xf numFmtId="164" fontId="4" fillId="2" borderId="0" xfId="20" applyNumberFormat="1" applyFont="1" applyFill="1" applyAlignment="1">
      <alignment horizontal="right" vertical="center" shrinkToFit="1"/>
      <protection/>
    </xf>
    <xf numFmtId="164" fontId="4" fillId="2" borderId="0" xfId="20" applyNumberFormat="1" applyFont="1" applyFill="1" applyAlignment="1">
      <alignment vertical="center" shrinkToFit="1"/>
      <protection/>
    </xf>
    <xf numFmtId="0" fontId="65" fillId="5" borderId="0" xfId="20" applyFont="1" applyFill="1" applyAlignment="1">
      <alignment horizontal="center" vertical="center" shrinkToFit="1"/>
      <protection/>
    </xf>
    <xf numFmtId="0" fontId="3" fillId="5" borderId="0" xfId="20" applyFont="1" applyFill="1" applyAlignment="1">
      <alignment vertical="center" shrinkToFit="1"/>
      <protection/>
    </xf>
    <xf numFmtId="0" fontId="82" fillId="5" borderId="0" xfId="20" applyFont="1" applyFill="1" applyAlignment="1">
      <alignment vertical="center" shrinkToFit="1"/>
      <protection/>
    </xf>
    <xf numFmtId="0" fontId="10" fillId="5" borderId="0" xfId="20" applyFont="1" applyFill="1" applyAlignment="1">
      <alignment horizontal="left" vertical="center"/>
      <protection/>
    </xf>
    <xf numFmtId="0" fontId="5" fillId="5" borderId="0" xfId="20" applyFont="1" applyFill="1" applyAlignment="1">
      <alignment horizontal="center" vertical="center" shrinkToFit="1"/>
      <protection/>
    </xf>
    <xf numFmtId="164" fontId="3" fillId="5" borderId="0" xfId="20" applyNumberFormat="1" applyFont="1" applyFill="1" applyAlignment="1">
      <alignment vertical="center" shrinkToFit="1"/>
      <protection/>
    </xf>
    <xf numFmtId="0" fontId="24" fillId="5" borderId="0" xfId="20" applyFont="1" applyFill="1" applyAlignment="1">
      <alignment vertical="center" shrinkToFit="1"/>
      <protection/>
    </xf>
    <xf numFmtId="0" fontId="3" fillId="5" borderId="0" xfId="20" applyFont="1" applyFill="1" applyAlignment="1">
      <alignment horizontal="center" vertical="center" shrinkToFit="1"/>
      <protection/>
    </xf>
    <xf numFmtId="9" fontId="8" fillId="5" borderId="0" xfId="20" applyNumberFormat="1" applyFont="1" applyFill="1" applyAlignment="1">
      <alignment vertical="center" shrinkToFit="1"/>
      <protection/>
    </xf>
    <xf numFmtId="164" fontId="3" fillId="5" borderId="0" xfId="20" applyNumberFormat="1" applyFont="1" applyFill="1" applyAlignment="1">
      <alignment horizontal="right" vertical="center" shrinkToFit="1"/>
      <protection/>
    </xf>
    <xf numFmtId="164" fontId="26" fillId="5" borderId="0" xfId="20" applyNumberFormat="1" applyFont="1" applyFill="1" applyAlignment="1">
      <alignment horizontal="right" vertical="center" shrinkToFit="1"/>
      <protection/>
    </xf>
    <xf numFmtId="164" fontId="26" fillId="5" borderId="0" xfId="20" applyNumberFormat="1" applyFont="1" applyFill="1" applyAlignment="1">
      <alignment vertical="center" shrinkToFit="1"/>
      <protection/>
    </xf>
    <xf numFmtId="164" fontId="3" fillId="5" borderId="0" xfId="20" applyNumberFormat="1" applyFont="1" applyFill="1" applyAlignment="1">
      <alignment horizontal="center" vertical="center" shrinkToFit="1"/>
      <protection/>
    </xf>
    <xf numFmtId="0" fontId="5" fillId="3" borderId="0" xfId="20" applyFont="1" applyFill="1" applyBorder="1" applyAlignment="1">
      <alignment vertical="center"/>
      <protection/>
    </xf>
    <xf numFmtId="0" fontId="64" fillId="0" borderId="0" xfId="20" applyFont="1" applyFill="1" applyAlignment="1">
      <alignment/>
      <protection/>
    </xf>
    <xf numFmtId="0" fontId="64" fillId="0" borderId="0" xfId="20" applyFont="1" applyAlignment="1">
      <alignment/>
      <protection/>
    </xf>
    <xf numFmtId="0" fontId="64" fillId="0" borderId="0" xfId="20" applyFont="1" applyFill="1" applyBorder="1" applyAlignment="1">
      <alignment/>
      <protection/>
    </xf>
    <xf numFmtId="0" fontId="64" fillId="0" borderId="0" xfId="20" applyFont="1" applyBorder="1" applyAlignment="1">
      <alignment/>
      <protection/>
    </xf>
    <xf numFmtId="0" fontId="64" fillId="0" borderId="11" xfId="20" applyFont="1" applyBorder="1" applyAlignment="1">
      <alignment horizontal="left"/>
      <protection/>
    </xf>
    <xf numFmtId="0" fontId="64" fillId="0" borderId="11" xfId="20" applyFont="1" applyBorder="1" applyAlignment="1">
      <alignment/>
      <protection/>
    </xf>
    <xf numFmtId="0" fontId="64" fillId="0" borderId="11" xfId="20" applyFont="1" applyBorder="1" applyAlignment="1">
      <alignment horizontal="center"/>
      <protection/>
    </xf>
    <xf numFmtId="164" fontId="64" fillId="0" borderId="11" xfId="20" applyNumberFormat="1" applyFont="1" applyBorder="1" applyAlignment="1">
      <alignment/>
      <protection/>
    </xf>
    <xf numFmtId="164" fontId="64" fillId="0" borderId="11" xfId="20" applyNumberFormat="1" applyFont="1" applyBorder="1" applyAlignment="1">
      <alignment horizontal="right"/>
      <protection/>
    </xf>
    <xf numFmtId="0" fontId="64" fillId="0" borderId="11" xfId="20" applyFont="1" applyBorder="1" applyAlignment="1">
      <alignment horizontal="right"/>
      <protection/>
    </xf>
    <xf numFmtId="164" fontId="64" fillId="0" borderId="0" xfId="20" applyNumberFormat="1" applyFont="1" applyBorder="1" applyAlignment="1">
      <alignment horizontal="right"/>
      <protection/>
    </xf>
    <xf numFmtId="0" fontId="3" fillId="2" borderId="0" xfId="20" applyFont="1" applyFill="1" applyAlignment="1">
      <alignment/>
      <protection/>
    </xf>
    <xf numFmtId="0" fontId="3" fillId="0" borderId="0" xfId="20" applyFont="1" applyAlignment="1">
      <alignment shrinkToFit="1"/>
      <protection/>
    </xf>
    <xf numFmtId="0" fontId="5" fillId="0" borderId="0" xfId="20" applyFont="1" applyFill="1" applyBorder="1" applyAlignment="1">
      <alignment shrinkToFit="1"/>
      <protection/>
    </xf>
    <xf numFmtId="0" fontId="3" fillId="0" borderId="0" xfId="20" applyFont="1" applyFill="1" applyBorder="1" applyAlignment="1">
      <alignment shrinkToFit="1"/>
      <protection/>
    </xf>
    <xf numFmtId="0" fontId="7" fillId="0" borderId="0" xfId="18" applyBorder="1" applyAlignment="1">
      <alignment shrinkToFit="1"/>
    </xf>
    <xf numFmtId="0" fontId="75" fillId="0" borderId="0" xfId="21" applyFont="1" applyBorder="1" applyAlignment="1">
      <alignment horizontal="right" shrinkToFit="1"/>
      <protection/>
    </xf>
    <xf numFmtId="0" fontId="3" fillId="0" borderId="0" xfId="20" applyFont="1" applyBorder="1" applyAlignment="1">
      <alignment shrinkToFit="1"/>
      <protection/>
    </xf>
    <xf numFmtId="0" fontId="3" fillId="7" borderId="17" xfId="20" applyFont="1" applyFill="1" applyBorder="1" applyAlignment="1">
      <alignment shrinkToFit="1"/>
      <protection/>
    </xf>
    <xf numFmtId="0" fontId="75" fillId="0" borderId="3" xfId="21" applyFont="1" applyBorder="1" applyAlignment="1">
      <alignment horizontal="right" shrinkToFit="1"/>
      <protection/>
    </xf>
    <xf numFmtId="0" fontId="3" fillId="0" borderId="18" xfId="20" applyFont="1" applyBorder="1" applyAlignment="1">
      <alignment shrinkToFit="1"/>
      <protection/>
    </xf>
    <xf numFmtId="0" fontId="3" fillId="7" borderId="18" xfId="20" applyFont="1" applyFill="1" applyBorder="1" applyAlignment="1">
      <alignment shrinkToFit="1"/>
      <protection/>
    </xf>
    <xf numFmtId="0" fontId="0" fillId="0" borderId="18" xfId="20" applyBorder="1" applyAlignment="1" quotePrefix="1">
      <alignment shrinkToFit="1"/>
      <protection/>
    </xf>
    <xf numFmtId="0" fontId="5" fillId="0" borderId="0" xfId="20" applyFont="1" applyFill="1" applyBorder="1" applyAlignment="1">
      <alignment vertical="center" shrinkToFit="1"/>
      <protection/>
    </xf>
    <xf numFmtId="0" fontId="3" fillId="0" borderId="0" xfId="20" applyFont="1" applyFill="1" applyBorder="1" applyAlignment="1">
      <alignment vertical="center" shrinkToFit="1"/>
      <protection/>
    </xf>
    <xf numFmtId="0" fontId="75" fillId="0" borderId="3" xfId="20" applyFont="1" applyFill="1" applyBorder="1" applyAlignment="1">
      <alignment horizontal="center" vertical="center" shrinkToFit="1"/>
      <protection/>
    </xf>
    <xf numFmtId="164" fontId="4" fillId="0" borderId="0" xfId="20" applyNumberFormat="1" applyFont="1" applyBorder="1" applyAlignment="1">
      <alignment vertical="center" shrinkToFit="1"/>
      <protection/>
    </xf>
    <xf numFmtId="0" fontId="3" fillId="0" borderId="0" xfId="20" applyFont="1" applyBorder="1" applyAlignment="1">
      <alignment vertical="center" shrinkToFit="1"/>
      <protection/>
    </xf>
    <xf numFmtId="0" fontId="3" fillId="7" borderId="18" xfId="20" applyFont="1" applyFill="1" applyBorder="1" applyAlignment="1">
      <alignment vertical="center" shrinkToFit="1"/>
      <protection/>
    </xf>
    <xf numFmtId="0" fontId="3" fillId="2" borderId="0" xfId="20" applyFont="1" applyFill="1" applyAlignment="1">
      <alignment vertical="top"/>
      <protection/>
    </xf>
    <xf numFmtId="0" fontId="3" fillId="0" borderId="0" xfId="20" applyFont="1" applyAlignment="1">
      <alignment vertical="top" shrinkToFit="1"/>
      <protection/>
    </xf>
    <xf numFmtId="0" fontId="5" fillId="0" borderId="0" xfId="20" applyFont="1" applyFill="1" applyBorder="1" applyAlignment="1">
      <alignment vertical="top" shrinkToFit="1"/>
      <protection/>
    </xf>
    <xf numFmtId="0" fontId="3" fillId="0" borderId="0" xfId="20" applyFont="1" applyFill="1" applyBorder="1" applyAlignment="1">
      <alignment vertical="top" shrinkToFit="1"/>
      <protection/>
    </xf>
    <xf numFmtId="0" fontId="75" fillId="0" borderId="19" xfId="20" applyFont="1" applyFill="1" applyBorder="1" applyAlignment="1">
      <alignment horizontal="center" vertical="top" shrinkToFit="1"/>
      <protection/>
    </xf>
    <xf numFmtId="164" fontId="4" fillId="0" borderId="11" xfId="20" applyNumberFormat="1" applyFont="1" applyBorder="1" applyAlignment="1">
      <alignment vertical="top" shrinkToFit="1"/>
      <protection/>
    </xf>
    <xf numFmtId="0" fontId="3" fillId="0" borderId="11" xfId="20" applyFont="1" applyBorder="1" applyAlignment="1">
      <alignment vertical="top" shrinkToFit="1"/>
      <protection/>
    </xf>
    <xf numFmtId="0" fontId="7" fillId="0" borderId="11" xfId="18" applyBorder="1" applyAlignment="1">
      <alignment vertical="top" shrinkToFit="1"/>
    </xf>
    <xf numFmtId="0" fontId="3" fillId="0" borderId="11" xfId="20" applyFont="1" applyBorder="1" applyAlignment="1">
      <alignment horizontal="right" vertical="top" shrinkToFit="1"/>
      <protection/>
    </xf>
    <xf numFmtId="0" fontId="75" fillId="0" borderId="11" xfId="21" applyFont="1" applyBorder="1" applyAlignment="1">
      <alignment horizontal="right" vertical="top"/>
      <protection/>
    </xf>
    <xf numFmtId="0" fontId="0" fillId="0" borderId="20" xfId="20" applyBorder="1" applyAlignment="1" quotePrefix="1">
      <alignment vertical="top" shrinkToFit="1"/>
      <protection/>
    </xf>
    <xf numFmtId="0" fontId="3" fillId="7" borderId="20" xfId="20" applyFont="1" applyFill="1" applyBorder="1" applyAlignment="1">
      <alignment vertical="top" shrinkToFit="1"/>
      <protection/>
    </xf>
    <xf numFmtId="0" fontId="3" fillId="0" borderId="0" xfId="20" applyFont="1" applyAlignment="1">
      <alignment vertical="top"/>
      <protection/>
    </xf>
    <xf numFmtId="0" fontId="70" fillId="0" borderId="0" xfId="20" applyFont="1" applyFill="1" applyAlignment="1">
      <alignment vertical="center"/>
      <protection/>
    </xf>
    <xf numFmtId="0" fontId="71" fillId="0" borderId="0" xfId="20" applyFont="1" applyFill="1" applyAlignment="1">
      <alignment vertical="center"/>
      <protection/>
    </xf>
    <xf numFmtId="0" fontId="71" fillId="11" borderId="0" xfId="20" applyFont="1" applyFill="1" applyAlignment="1">
      <alignment vertical="center"/>
      <protection/>
    </xf>
    <xf numFmtId="0" fontId="70" fillId="11" borderId="0" xfId="20" applyFont="1" applyFill="1" applyAlignment="1">
      <alignment horizontal="center" vertical="center"/>
      <protection/>
    </xf>
    <xf numFmtId="164" fontId="47" fillId="11" borderId="0" xfId="20" applyNumberFormat="1" applyFont="1" applyFill="1" applyAlignment="1">
      <alignment vertical="center"/>
      <protection/>
    </xf>
    <xf numFmtId="0" fontId="72" fillId="11" borderId="0" xfId="18" applyFont="1" applyFill="1" applyAlignment="1">
      <alignment/>
    </xf>
    <xf numFmtId="0" fontId="71" fillId="11" borderId="0" xfId="20" applyFont="1" applyFill="1" applyAlignment="1">
      <alignment horizontal="center" vertical="center" shrinkToFit="1"/>
      <protection/>
    </xf>
    <xf numFmtId="164" fontId="71" fillId="11" borderId="0" xfId="20" applyNumberFormat="1" applyFont="1" applyFill="1" applyAlignment="1">
      <alignment horizontal="right" vertical="center"/>
      <protection/>
    </xf>
    <xf numFmtId="0" fontId="73" fillId="11" borderId="0" xfId="20" applyFont="1" applyFill="1" quotePrefix="1">
      <alignment/>
      <protection/>
    </xf>
    <xf numFmtId="0" fontId="73" fillId="11" borderId="0" xfId="20" applyFont="1" applyFill="1">
      <alignment/>
      <protection/>
    </xf>
    <xf numFmtId="0" fontId="72" fillId="0" borderId="0" xfId="18" applyFont="1" applyFill="1" applyBorder="1" applyAlignment="1">
      <alignment/>
    </xf>
    <xf numFmtId="0" fontId="16" fillId="0" borderId="0" xfId="20" applyFont="1" applyAlignment="1">
      <alignment vertical="center"/>
      <protection/>
    </xf>
    <xf numFmtId="0" fontId="1" fillId="2" borderId="0" xfId="20" applyFont="1" applyFill="1" applyAlignment="1">
      <alignment vertical="center"/>
      <protection/>
    </xf>
    <xf numFmtId="172" fontId="1" fillId="0" borderId="0" xfId="20" applyNumberFormat="1" applyFont="1" applyAlignment="1">
      <alignment vertical="center"/>
      <protection/>
    </xf>
    <xf numFmtId="164" fontId="1" fillId="0" borderId="0" xfId="20" applyNumberFormat="1" applyFont="1" applyAlignment="1">
      <alignment horizontal="right" vertical="center"/>
      <protection/>
    </xf>
    <xf numFmtId="0" fontId="5" fillId="0" borderId="0" xfId="20" applyFont="1" applyBorder="1" applyAlignment="1">
      <alignment vertical="center"/>
      <protection/>
    </xf>
    <xf numFmtId="0" fontId="25" fillId="0" borderId="0" xfId="20" applyFont="1" applyAlignment="1">
      <alignment vertical="center" wrapText="1"/>
      <protection/>
    </xf>
    <xf numFmtId="0" fontId="25" fillId="0" borderId="0" xfId="20" applyFont="1" applyAlignment="1">
      <alignment/>
      <protection/>
    </xf>
    <xf numFmtId="0" fontId="25" fillId="0" borderId="0" xfId="20" applyFont="1" applyAlignment="1">
      <alignment vertical="top"/>
      <protection/>
    </xf>
    <xf numFmtId="0" fontId="5" fillId="0" borderId="10" xfId="20" applyFont="1" applyBorder="1" applyAlignment="1">
      <alignment vertical="center"/>
      <protection/>
    </xf>
    <xf numFmtId="0" fontId="5" fillId="0" borderId="11" xfId="20" applyFont="1" applyBorder="1" applyAlignment="1">
      <alignment vertical="center"/>
      <protection/>
    </xf>
    <xf numFmtId="0" fontId="4" fillId="0" borderId="11" xfId="20" applyFont="1" applyBorder="1" applyAlignment="1">
      <alignment vertical="center"/>
      <protection/>
    </xf>
    <xf numFmtId="0" fontId="5" fillId="0" borderId="11" xfId="20" applyFont="1" applyBorder="1" applyAlignment="1">
      <alignment horizontal="center" vertical="center" shrinkToFit="1"/>
      <protection/>
    </xf>
    <xf numFmtId="0" fontId="24" fillId="0" borderId="11" xfId="20" applyFont="1" applyBorder="1" applyAlignment="1">
      <alignment vertical="center"/>
      <protection/>
    </xf>
    <xf numFmtId="0" fontId="3" fillId="0" borderId="11" xfId="20" applyFont="1" applyBorder="1" applyAlignment="1">
      <alignment horizontal="center" vertical="center" shrinkToFit="1"/>
      <protection/>
    </xf>
    <xf numFmtId="0" fontId="5" fillId="2" borderId="2" xfId="20" applyFont="1" applyFill="1" applyBorder="1" applyAlignment="1">
      <alignment vertical="center"/>
      <protection/>
    </xf>
    <xf numFmtId="0" fontId="3" fillId="2" borderId="2" xfId="20" applyFont="1" applyFill="1" applyBorder="1" applyAlignment="1">
      <alignment vertical="center"/>
      <protection/>
    </xf>
    <xf numFmtId="0" fontId="5" fillId="2" borderId="2" xfId="20" applyFont="1" applyFill="1" applyBorder="1" applyAlignment="1">
      <alignment horizontal="center" vertical="center"/>
      <protection/>
    </xf>
    <xf numFmtId="0" fontId="5" fillId="2" borderId="2" xfId="20" applyFont="1" applyFill="1" applyBorder="1" applyAlignment="1">
      <alignment horizontal="center" vertical="center" shrinkToFit="1"/>
      <protection/>
    </xf>
    <xf numFmtId="164" fontId="3" fillId="2" borderId="2" xfId="20" applyNumberFormat="1" applyFont="1" applyFill="1" applyBorder="1" applyAlignment="1">
      <alignment vertical="center"/>
      <protection/>
    </xf>
    <xf numFmtId="0" fontId="24" fillId="2" borderId="2" xfId="20" applyFont="1" applyFill="1" applyBorder="1" applyAlignment="1">
      <alignment vertical="center"/>
      <protection/>
    </xf>
    <xf numFmtId="0" fontId="3" fillId="2" borderId="2" xfId="20" applyFont="1" applyFill="1" applyBorder="1" applyAlignment="1">
      <alignment horizontal="center" vertical="center" shrinkToFit="1"/>
      <protection/>
    </xf>
    <xf numFmtId="172" fontId="3" fillId="2" borderId="2" xfId="20" applyNumberFormat="1" applyFont="1" applyFill="1" applyBorder="1" applyAlignment="1">
      <alignment vertical="center"/>
      <protection/>
    </xf>
    <xf numFmtId="164" fontId="3" fillId="2" borderId="2" xfId="20" applyNumberFormat="1" applyFont="1" applyFill="1" applyBorder="1" applyAlignment="1">
      <alignment horizontal="right" vertical="center"/>
      <protection/>
    </xf>
    <xf numFmtId="0" fontId="16" fillId="0" borderId="0" xfId="20" applyFont="1" applyFill="1" applyAlignment="1">
      <alignment vertical="center"/>
      <protection/>
    </xf>
    <xf numFmtId="0" fontId="16" fillId="0" borderId="0" xfId="20" applyFont="1" applyFill="1" applyAlignment="1">
      <alignment horizontal="center" vertical="center"/>
      <protection/>
    </xf>
    <xf numFmtId="164" fontId="34" fillId="0" borderId="0" xfId="20" applyNumberFormat="1" applyFont="1" applyFill="1" applyAlignment="1">
      <alignment/>
      <protection/>
    </xf>
    <xf numFmtId="0" fontId="16" fillId="0" borderId="0" xfId="20" applyFont="1" applyFill="1" applyAlignment="1">
      <alignment horizontal="center" vertical="center" shrinkToFit="1"/>
      <protection/>
    </xf>
    <xf numFmtId="164" fontId="16" fillId="0" borderId="0" xfId="20" applyNumberFormat="1" applyFont="1" applyFill="1" applyAlignment="1">
      <alignment vertical="center"/>
      <protection/>
    </xf>
    <xf numFmtId="172" fontId="16" fillId="0" borderId="0" xfId="20" applyNumberFormat="1" applyFont="1" applyFill="1" applyAlignment="1">
      <alignment vertical="center"/>
      <protection/>
    </xf>
    <xf numFmtId="164" fontId="16" fillId="0" borderId="0" xfId="20" applyNumberFormat="1" applyFont="1" applyFill="1" applyAlignment="1">
      <alignment horizontal="right" vertical="center"/>
      <protection/>
    </xf>
    <xf numFmtId="0" fontId="33" fillId="0" borderId="0" xfId="20" applyFont="1" applyFill="1" applyAlignment="1">
      <alignment/>
      <protection/>
    </xf>
    <xf numFmtId="0" fontId="33" fillId="0" borderId="0" xfId="20" applyFont="1" applyFill="1" applyAlignment="1">
      <alignment horizontal="center"/>
      <protection/>
    </xf>
    <xf numFmtId="0" fontId="16" fillId="0" borderId="0" xfId="20" applyFont="1" applyFill="1" applyAlignment="1">
      <alignment/>
      <protection/>
    </xf>
    <xf numFmtId="0" fontId="16" fillId="0" borderId="0" xfId="20" applyFont="1" applyFill="1" applyAlignment="1">
      <alignment horizontal="center" shrinkToFit="1"/>
      <protection/>
    </xf>
    <xf numFmtId="164" fontId="16" fillId="0" borderId="0" xfId="20" applyNumberFormat="1" applyFont="1" applyFill="1" applyAlignment="1">
      <alignment/>
      <protection/>
    </xf>
    <xf numFmtId="0" fontId="24" fillId="0" borderId="0" xfId="20" applyFont="1" applyFill="1" applyAlignment="1">
      <alignment/>
      <protection/>
    </xf>
    <xf numFmtId="0" fontId="16" fillId="0" borderId="0" xfId="20" applyFont="1" applyFill="1" applyAlignment="1">
      <alignment horizontal="center"/>
      <protection/>
    </xf>
    <xf numFmtId="172" fontId="16" fillId="0" borderId="0" xfId="20" applyNumberFormat="1" applyFont="1" applyFill="1" applyAlignment="1">
      <alignment/>
      <protection/>
    </xf>
    <xf numFmtId="164" fontId="16" fillId="0" borderId="0" xfId="20" applyNumberFormat="1" applyFont="1" applyFill="1" applyAlignment="1">
      <alignment horizontal="right"/>
      <protection/>
    </xf>
    <xf numFmtId="0" fontId="5" fillId="0" borderId="0" xfId="20" applyFont="1" applyFill="1" applyAlignment="1">
      <alignment horizontal="center"/>
      <protection/>
    </xf>
    <xf numFmtId="0" fontId="16" fillId="0" borderId="0" xfId="20" applyFont="1" applyAlignment="1">
      <alignment/>
      <protection/>
    </xf>
    <xf numFmtId="0" fontId="6" fillId="0" borderId="0" xfId="20" applyFont="1" applyFill="1" applyAlignment="1">
      <alignment vertical="center"/>
      <protection/>
    </xf>
    <xf numFmtId="1" fontId="76" fillId="2" borderId="0" xfId="20" applyNumberFormat="1" applyFont="1" applyFill="1" applyAlignment="1">
      <alignment vertical="center"/>
      <protection/>
    </xf>
    <xf numFmtId="1" fontId="29" fillId="2" borderId="0" xfId="20" applyNumberFormat="1" applyFont="1" applyFill="1" applyBorder="1" applyAlignment="1">
      <alignment vertical="center"/>
      <protection/>
    </xf>
    <xf numFmtId="1" fontId="76" fillId="2" borderId="0" xfId="20" applyNumberFormat="1" applyFont="1" applyFill="1" applyBorder="1" applyAlignment="1">
      <alignment vertical="center"/>
      <protection/>
    </xf>
    <xf numFmtId="1" fontId="76" fillId="0" borderId="0" xfId="20" applyNumberFormat="1" applyFont="1" applyFill="1" applyAlignment="1">
      <alignment vertical="center"/>
      <protection/>
    </xf>
    <xf numFmtId="0" fontId="29" fillId="2" borderId="0" xfId="20" applyFont="1" applyFill="1" applyBorder="1" applyAlignment="1">
      <alignment vertical="center"/>
      <protection/>
    </xf>
    <xf numFmtId="164" fontId="29" fillId="2" borderId="0" xfId="20" applyNumberFormat="1" applyFont="1" applyFill="1" applyBorder="1" applyAlignment="1">
      <alignment vertical="center"/>
      <protection/>
    </xf>
    <xf numFmtId="0" fontId="37" fillId="2" borderId="0" xfId="20" applyFont="1" applyFill="1" applyAlignment="1">
      <alignment vertical="center"/>
      <protection/>
    </xf>
    <xf numFmtId="0" fontId="90" fillId="2" borderId="0" xfId="20" applyFont="1" applyFill="1" applyBorder="1" applyAlignment="1">
      <alignment vertical="center"/>
      <protection/>
    </xf>
    <xf numFmtId="164" fontId="90" fillId="2" borderId="0" xfId="20" applyNumberFormat="1" applyFont="1" applyFill="1" applyBorder="1" applyAlignment="1">
      <alignment vertical="center"/>
      <protection/>
    </xf>
    <xf numFmtId="0" fontId="37" fillId="2" borderId="0" xfId="20" applyFont="1" applyFill="1" applyBorder="1" applyAlignment="1">
      <alignment vertical="center"/>
      <protection/>
    </xf>
    <xf numFmtId="0" fontId="37" fillId="0" borderId="0" xfId="20" applyFont="1" applyFill="1" applyAlignment="1">
      <alignment vertical="center"/>
      <protection/>
    </xf>
    <xf numFmtId="0" fontId="35" fillId="0" borderId="0" xfId="21" applyFont="1" applyBorder="1" applyAlignment="1">
      <alignment horizontal="right" shrinkToFit="1"/>
      <protection/>
    </xf>
    <xf numFmtId="0" fontId="19" fillId="0" borderId="0" xfId="20" applyFont="1" applyBorder="1" applyAlignment="1">
      <alignment shrinkToFit="1"/>
      <protection/>
    </xf>
    <xf numFmtId="0" fontId="75" fillId="0" borderId="16" xfId="21" applyFont="1" applyBorder="1" applyAlignment="1">
      <alignment horizontal="right"/>
      <protection/>
    </xf>
    <xf numFmtId="0" fontId="75" fillId="0" borderId="16" xfId="21" applyFont="1" applyBorder="1" applyAlignment="1">
      <alignment horizontal="right" vertical="center"/>
      <protection/>
    </xf>
    <xf numFmtId="172" fontId="64" fillId="0" borderId="11" xfId="20" applyNumberFormat="1" applyFont="1" applyBorder="1" applyAlignment="1">
      <alignment/>
      <protection/>
    </xf>
    <xf numFmtId="0" fontId="5" fillId="0" borderId="21" xfId="20" applyFont="1" applyBorder="1" applyAlignment="1">
      <alignment horizontal="center" vertical="center" shrinkToFit="1"/>
      <protection/>
    </xf>
    <xf numFmtId="0" fontId="5" fillId="0" borderId="8" xfId="20" applyFont="1" applyBorder="1" applyAlignment="1">
      <alignment horizontal="center" shrinkToFit="1"/>
      <protection/>
    </xf>
    <xf numFmtId="0" fontId="3" fillId="0" borderId="21" xfId="20" applyFont="1" applyBorder="1" applyAlignment="1">
      <alignment/>
      <protection/>
    </xf>
    <xf numFmtId="0" fontId="3" fillId="0" borderId="8" xfId="20" applyFont="1" applyBorder="1" applyAlignment="1">
      <alignment/>
      <protection/>
    </xf>
    <xf numFmtId="0" fontId="19" fillId="2" borderId="0" xfId="20" applyFont="1" applyFill="1" applyAlignment="1">
      <alignment vertical="center"/>
      <protection/>
    </xf>
    <xf numFmtId="0" fontId="18" fillId="0" borderId="0" xfId="20" applyFont="1" applyAlignment="1">
      <alignment/>
      <protection/>
    </xf>
    <xf numFmtId="0" fontId="19" fillId="0" borderId="0" xfId="20" applyFont="1" applyAlignment="1">
      <alignment horizontal="center" vertical="center" shrinkToFit="1"/>
      <protection/>
    </xf>
    <xf numFmtId="0" fontId="35" fillId="0" borderId="8" xfId="20" applyFont="1" applyBorder="1" applyAlignment="1">
      <alignment horizontal="center" vertical="center"/>
      <protection/>
    </xf>
    <xf numFmtId="0" fontId="19" fillId="9" borderId="0" xfId="20" applyFont="1" applyFill="1" applyAlignment="1">
      <alignment vertical="center"/>
      <protection/>
    </xf>
    <xf numFmtId="0" fontId="19" fillId="0" borderId="0" xfId="20" applyFont="1" applyAlignment="1">
      <alignment horizontal="center" vertical="center" textRotation="90" wrapText="1"/>
      <protection/>
    </xf>
    <xf numFmtId="0" fontId="164" fillId="0" borderId="10" xfId="18" applyFont="1" applyBorder="1" applyAlignment="1" applyProtection="1">
      <alignment vertical="center"/>
      <protection locked="0"/>
    </xf>
    <xf numFmtId="165" fontId="19" fillId="5" borderId="1" xfId="20" applyNumberFormat="1" applyFont="1" applyFill="1" applyBorder="1" applyAlignment="1" applyProtection="1">
      <alignment vertical="center"/>
      <protection locked="0"/>
    </xf>
    <xf numFmtId="0" fontId="164" fillId="0" borderId="6" xfId="18" applyFont="1" applyBorder="1" applyAlignment="1" applyProtection="1">
      <alignment vertical="center"/>
      <protection locked="0"/>
    </xf>
    <xf numFmtId="0" fontId="165" fillId="0" borderId="2" xfId="20" applyFont="1" applyBorder="1" applyAlignment="1">
      <alignment vertical="center"/>
      <protection/>
    </xf>
    <xf numFmtId="0" fontId="18" fillId="0" borderId="0" xfId="20" applyFont="1" applyAlignment="1">
      <alignment vertical="center"/>
      <protection/>
    </xf>
    <xf numFmtId="0" fontId="165" fillId="0" borderId="10" xfId="20" applyFont="1" applyBorder="1" applyAlignment="1">
      <alignment vertical="center"/>
      <protection/>
    </xf>
    <xf numFmtId="0" fontId="165" fillId="0" borderId="0" xfId="20" applyFont="1" applyBorder="1" applyAlignment="1">
      <alignment vertical="center"/>
      <protection/>
    </xf>
    <xf numFmtId="0" fontId="19" fillId="5" borderId="1" xfId="20" applyFont="1" applyFill="1" applyBorder="1" applyAlignment="1" applyProtection="1">
      <alignment vertical="center"/>
      <protection locked="0"/>
    </xf>
    <xf numFmtId="0" fontId="35" fillId="0" borderId="0" xfId="20" applyFont="1" applyAlignment="1">
      <alignment horizontal="right" vertical="center" textRotation="90" wrapText="1"/>
      <protection/>
    </xf>
    <xf numFmtId="0" fontId="19" fillId="0" borderId="0" xfId="20" applyFont="1" applyAlignment="1">
      <alignment horizontal="left" vertical="center"/>
      <protection/>
    </xf>
    <xf numFmtId="0" fontId="165" fillId="0" borderId="0" xfId="20" applyFont="1" applyAlignment="1">
      <alignment vertical="center"/>
      <protection/>
    </xf>
    <xf numFmtId="0" fontId="166" fillId="5" borderId="11" xfId="20" applyFont="1" applyFill="1" applyBorder="1" applyAlignment="1">
      <alignment horizontal="left" vertical="center"/>
      <protection/>
    </xf>
    <xf numFmtId="0" fontId="35" fillId="0" borderId="11" xfId="20" applyFont="1" applyBorder="1" applyAlignment="1">
      <alignment horizontal="center" vertical="center" shrinkToFit="1"/>
      <protection/>
    </xf>
    <xf numFmtId="164" fontId="19" fillId="0" borderId="11" xfId="20" applyNumberFormat="1" applyFont="1" applyBorder="1" applyAlignment="1">
      <alignment vertical="center"/>
      <protection/>
    </xf>
    <xf numFmtId="0" fontId="19" fillId="0" borderId="11" xfId="20" applyFont="1" applyBorder="1" applyAlignment="1">
      <alignment vertical="center"/>
      <protection/>
    </xf>
    <xf numFmtId="165" fontId="147" fillId="5" borderId="22" xfId="20" applyNumberFormat="1" applyFont="1" applyFill="1" applyBorder="1" applyAlignment="1" applyProtection="1">
      <alignment horizontal="center" vertical="center" shrinkToFit="1"/>
      <protection locked="0"/>
    </xf>
    <xf numFmtId="0" fontId="168" fillId="0" borderId="0" xfId="20" applyFont="1" applyBorder="1" applyAlignment="1">
      <alignment vertical="center"/>
      <protection/>
    </xf>
    <xf numFmtId="0" fontId="169" fillId="0" borderId="0" xfId="20" applyFont="1" applyAlignment="1">
      <alignment horizontal="left" vertical="center" wrapText="1" shrinkToFit="1"/>
      <protection/>
    </xf>
    <xf numFmtId="172" fontId="4" fillId="2" borderId="0" xfId="20" applyNumberFormat="1" applyFont="1" applyFill="1" applyAlignment="1">
      <alignment vertical="center" shrinkToFit="1"/>
      <protection/>
    </xf>
    <xf numFmtId="0" fontId="44" fillId="2" borderId="0" xfId="20" applyFont="1" applyFill="1" applyAlignment="1">
      <alignment horizontal="center" vertical="center"/>
      <protection/>
    </xf>
    <xf numFmtId="1" fontId="75" fillId="0" borderId="10" xfId="20" applyNumberFormat="1" applyFont="1" applyFill="1" applyBorder="1" applyAlignment="1">
      <alignment vertical="center"/>
      <protection/>
    </xf>
    <xf numFmtId="2" fontId="29" fillId="0" borderId="10" xfId="20" applyNumberFormat="1" applyFont="1" applyFill="1" applyBorder="1" applyAlignment="1">
      <alignment horizontal="center" vertical="center"/>
      <protection/>
    </xf>
    <xf numFmtId="1" fontId="29" fillId="0" borderId="10" xfId="20" applyNumberFormat="1" applyFont="1" applyFill="1" applyBorder="1" applyAlignment="1">
      <alignment vertical="center"/>
      <protection/>
    </xf>
    <xf numFmtId="1" fontId="88" fillId="0" borderId="10" xfId="20" applyNumberFormat="1" applyFont="1" applyFill="1" applyBorder="1" applyAlignment="1">
      <alignment horizontal="center" vertical="center"/>
      <protection/>
    </xf>
    <xf numFmtId="1" fontId="88" fillId="0" borderId="10" xfId="20" applyNumberFormat="1" applyFont="1" applyFill="1" applyBorder="1" applyAlignment="1">
      <alignment horizontal="center" vertical="center" shrinkToFit="1"/>
      <protection/>
    </xf>
    <xf numFmtId="1" fontId="29" fillId="0" borderId="10" xfId="20" applyNumberFormat="1" applyFont="1" applyFill="1" applyBorder="1" applyAlignment="1">
      <alignment horizontal="center" vertical="center"/>
      <protection/>
    </xf>
    <xf numFmtId="0" fontId="5" fillId="0" borderId="23" xfId="0" applyFont="1" applyBorder="1" applyAlignment="1" applyProtection="1">
      <alignment horizontal="left" vertical="top" wrapText="1"/>
      <protection locked="0"/>
    </xf>
    <xf numFmtId="1" fontId="89" fillId="0" borderId="10" xfId="20" applyNumberFormat="1" applyFont="1" applyFill="1" applyBorder="1" applyAlignment="1">
      <alignment vertical="center"/>
      <protection/>
    </xf>
    <xf numFmtId="1" fontId="29" fillId="0" borderId="10" xfId="20" applyNumberFormat="1" applyFont="1" applyFill="1" applyBorder="1" applyAlignment="1">
      <alignment horizontal="center" vertical="center" shrinkToFit="1"/>
      <protection/>
    </xf>
    <xf numFmtId="1" fontId="29" fillId="0" borderId="10" xfId="20" applyNumberFormat="1" applyFont="1" applyFill="1" applyBorder="1" applyAlignment="1">
      <alignment horizontal="right" vertical="center"/>
      <protection/>
    </xf>
    <xf numFmtId="0" fontId="29" fillId="0" borderId="0" xfId="20" applyFont="1" applyFill="1" applyBorder="1" applyAlignment="1">
      <alignment vertical="center"/>
      <protection/>
    </xf>
    <xf numFmtId="0" fontId="88" fillId="0" borderId="0" xfId="20" applyFont="1" applyFill="1" applyBorder="1" applyAlignment="1">
      <alignment horizontal="center" vertical="center"/>
      <protection/>
    </xf>
    <xf numFmtId="0" fontId="88" fillId="0" borderId="0" xfId="20" applyFont="1" applyFill="1" applyBorder="1" applyAlignment="1">
      <alignment horizontal="center" vertical="center" shrinkToFit="1"/>
      <protection/>
    </xf>
    <xf numFmtId="164" fontId="29" fillId="0" borderId="0" xfId="20" applyNumberFormat="1" applyFont="1" applyFill="1" applyBorder="1" applyAlignment="1">
      <alignment vertical="center"/>
      <protection/>
    </xf>
    <xf numFmtId="0" fontId="89" fillId="0" borderId="0" xfId="20" applyFont="1" applyFill="1" applyBorder="1" applyAlignment="1">
      <alignment vertical="center"/>
      <protection/>
    </xf>
    <xf numFmtId="0" fontId="29" fillId="0" borderId="0" xfId="20" applyFont="1" applyFill="1" applyBorder="1" applyAlignment="1">
      <alignment horizontal="center" vertical="center" shrinkToFit="1"/>
      <protection/>
    </xf>
    <xf numFmtId="172" fontId="29" fillId="0" borderId="0" xfId="20" applyNumberFormat="1" applyFont="1" applyFill="1" applyBorder="1" applyAlignment="1">
      <alignment vertical="center"/>
      <protection/>
    </xf>
    <xf numFmtId="164" fontId="29" fillId="0" borderId="0" xfId="20" applyNumberFormat="1" applyFont="1" applyFill="1" applyBorder="1" applyAlignment="1">
      <alignment horizontal="right" vertical="center"/>
      <protection/>
    </xf>
    <xf numFmtId="0" fontId="157" fillId="0" borderId="0" xfId="20" applyFont="1" applyFill="1" applyBorder="1" applyAlignment="1">
      <alignment horizontal="center" vertical="center"/>
      <protection/>
    </xf>
    <xf numFmtId="0" fontId="90" fillId="0" borderId="0" xfId="20" applyFont="1" applyFill="1" applyBorder="1" applyAlignment="1">
      <alignment vertical="center"/>
      <protection/>
    </xf>
    <xf numFmtId="0" fontId="158" fillId="0" borderId="0" xfId="20" applyFont="1" applyFill="1" applyBorder="1" applyAlignment="1">
      <alignment horizontal="center" vertical="center"/>
      <protection/>
    </xf>
    <xf numFmtId="0" fontId="91" fillId="0" borderId="0" xfId="20" applyFont="1" applyFill="1" applyBorder="1" applyAlignment="1">
      <alignment horizontal="right" vertical="center"/>
      <protection/>
    </xf>
    <xf numFmtId="0" fontId="90" fillId="0" borderId="0" xfId="20" applyFont="1" applyFill="1" applyBorder="1" applyAlignment="1">
      <alignment horizontal="left" vertical="center"/>
      <protection/>
    </xf>
    <xf numFmtId="0" fontId="91" fillId="0" borderId="0" xfId="20" applyFont="1" applyFill="1" applyBorder="1" applyAlignment="1">
      <alignment horizontal="center" vertical="center" shrinkToFit="1"/>
      <protection/>
    </xf>
    <xf numFmtId="164" fontId="90" fillId="0" borderId="0" xfId="20" applyNumberFormat="1" applyFont="1" applyFill="1" applyBorder="1" applyAlignment="1">
      <alignment horizontal="left" vertical="center"/>
      <protection/>
    </xf>
    <xf numFmtId="0" fontId="92" fillId="0" borderId="0" xfId="20" applyFont="1" applyFill="1" applyBorder="1" applyAlignment="1">
      <alignment vertical="center"/>
      <protection/>
    </xf>
    <xf numFmtId="0" fontId="90" fillId="0" borderId="0" xfId="20" applyFont="1" applyFill="1" applyBorder="1" applyAlignment="1">
      <alignment horizontal="center" vertical="center"/>
      <protection/>
    </xf>
    <xf numFmtId="0" fontId="90" fillId="0" borderId="0" xfId="20" applyFont="1" applyFill="1" applyBorder="1" applyAlignment="1">
      <alignment horizontal="center" vertical="center" shrinkToFit="1"/>
      <protection/>
    </xf>
    <xf numFmtId="0" fontId="91" fillId="0" borderId="0" xfId="20" applyFont="1" applyFill="1" applyBorder="1" applyAlignment="1">
      <alignment horizontal="center" vertical="center"/>
      <protection/>
    </xf>
    <xf numFmtId="172" fontId="90" fillId="0" borderId="0" xfId="20" applyNumberFormat="1" applyFont="1" applyFill="1" applyBorder="1" applyAlignment="1">
      <alignment vertical="center"/>
      <protection/>
    </xf>
    <xf numFmtId="164" fontId="90" fillId="0" borderId="0" xfId="20" applyNumberFormat="1" applyFont="1" applyFill="1" applyBorder="1" applyAlignment="1">
      <alignment horizontal="right" vertical="center"/>
      <protection/>
    </xf>
    <xf numFmtId="0" fontId="5" fillId="0" borderId="24" xfId="20" applyFont="1" applyFill="1" applyBorder="1" applyAlignment="1">
      <alignment vertical="center"/>
      <protection/>
    </xf>
    <xf numFmtId="0" fontId="93" fillId="0" borderId="10" xfId="20" applyFont="1" applyFill="1" applyBorder="1" applyAlignment="1">
      <alignment horizontal="center" vertical="center"/>
      <protection/>
    </xf>
    <xf numFmtId="0" fontId="93" fillId="0" borderId="10" xfId="20" applyFont="1" applyFill="1" applyBorder="1" applyAlignment="1">
      <alignment vertical="center"/>
      <protection/>
    </xf>
    <xf numFmtId="0" fontId="94" fillId="0" borderId="10" xfId="20" applyFont="1" applyFill="1" applyBorder="1" applyAlignment="1">
      <alignment horizontal="center" vertical="center"/>
      <protection/>
    </xf>
    <xf numFmtId="0" fontId="94" fillId="0" borderId="10" xfId="20" applyFont="1" applyFill="1" applyBorder="1" applyAlignment="1">
      <alignment horizontal="center" vertical="center" shrinkToFit="1"/>
      <protection/>
    </xf>
    <xf numFmtId="1" fontId="94" fillId="0" borderId="10" xfId="20" applyNumberFormat="1" applyFont="1" applyFill="1" applyBorder="1" applyAlignment="1">
      <alignment horizontal="center" vertical="center" shrinkToFit="1"/>
      <protection/>
    </xf>
    <xf numFmtId="0" fontId="93" fillId="0" borderId="10" xfId="20" applyFont="1" applyFill="1" applyBorder="1" applyAlignment="1">
      <alignment horizontal="left" vertical="center"/>
      <protection/>
    </xf>
    <xf numFmtId="0" fontId="159" fillId="0" borderId="10" xfId="20" applyFont="1" applyFill="1" applyBorder="1" applyAlignment="1">
      <alignment vertical="center"/>
      <protection/>
    </xf>
    <xf numFmtId="0" fontId="93" fillId="0" borderId="10" xfId="20" applyFont="1" applyFill="1" applyBorder="1" applyAlignment="1">
      <alignment horizontal="center" vertical="center" shrinkToFit="1"/>
      <protection/>
    </xf>
    <xf numFmtId="165" fontId="93" fillId="0" borderId="10" xfId="20" applyNumberFormat="1" applyFont="1" applyFill="1" applyBorder="1" applyAlignment="1">
      <alignment vertical="center"/>
      <protection/>
    </xf>
    <xf numFmtId="164" fontId="93" fillId="0" borderId="10" xfId="20" applyNumberFormat="1" applyFont="1" applyFill="1" applyBorder="1" applyAlignment="1">
      <alignment horizontal="right" vertical="center"/>
      <protection/>
    </xf>
    <xf numFmtId="0" fontId="94" fillId="0" borderId="23" xfId="20" applyFont="1" applyFill="1" applyBorder="1" applyAlignment="1">
      <alignment horizontal="center" vertical="center"/>
      <protection/>
    </xf>
    <xf numFmtId="0" fontId="5" fillId="0" borderId="16" xfId="20" applyFont="1" applyFill="1" applyBorder="1" applyAlignment="1">
      <alignment vertical="center"/>
      <protection/>
    </xf>
    <xf numFmtId="0" fontId="93" fillId="0" borderId="0" xfId="20" applyFont="1" applyFill="1" applyBorder="1" applyAlignment="1">
      <alignment horizontal="center" vertical="center"/>
      <protection/>
    </xf>
    <xf numFmtId="0" fontId="93" fillId="0" borderId="0" xfId="20" applyFont="1" applyFill="1" applyBorder="1" applyAlignment="1">
      <alignment vertical="center"/>
      <protection/>
    </xf>
    <xf numFmtId="0" fontId="94" fillId="0" borderId="0" xfId="20" applyFont="1" applyFill="1" applyBorder="1" applyAlignment="1">
      <alignment horizontal="center" vertical="center"/>
      <protection/>
    </xf>
    <xf numFmtId="0" fontId="94" fillId="0" borderId="0" xfId="20" applyFont="1" applyFill="1" applyBorder="1" applyAlignment="1">
      <alignment horizontal="center" vertical="center" shrinkToFit="1"/>
      <protection/>
    </xf>
    <xf numFmtId="1" fontId="94" fillId="0" borderId="0" xfId="20" applyNumberFormat="1" applyFont="1" applyFill="1" applyBorder="1" applyAlignment="1">
      <alignment horizontal="center" vertical="center" shrinkToFit="1"/>
      <protection/>
    </xf>
    <xf numFmtId="0" fontId="159" fillId="0" borderId="0" xfId="20" applyFont="1" applyFill="1" applyBorder="1" applyAlignment="1">
      <alignment vertical="center"/>
      <protection/>
    </xf>
    <xf numFmtId="0" fontId="93" fillId="0" borderId="0" xfId="20" applyFont="1" applyFill="1" applyBorder="1" applyAlignment="1">
      <alignment horizontal="center" vertical="center" shrinkToFit="1"/>
      <protection/>
    </xf>
    <xf numFmtId="165" fontId="93" fillId="0" borderId="0" xfId="20" applyNumberFormat="1" applyFont="1" applyFill="1" applyBorder="1" applyAlignment="1">
      <alignment vertical="center"/>
      <protection/>
    </xf>
    <xf numFmtId="164" fontId="93" fillId="0" borderId="0" xfId="20" applyNumberFormat="1" applyFont="1" applyFill="1" applyBorder="1" applyAlignment="1">
      <alignment horizontal="right" vertical="center"/>
      <protection/>
    </xf>
    <xf numFmtId="0" fontId="94" fillId="0" borderId="25" xfId="20" applyFont="1" applyFill="1" applyBorder="1" applyAlignment="1">
      <alignment horizontal="center" vertical="center"/>
      <protection/>
    </xf>
    <xf numFmtId="0" fontId="77" fillId="0" borderId="16" xfId="20" applyFont="1" applyFill="1" applyBorder="1" applyAlignment="1">
      <alignment vertical="center"/>
      <protection/>
    </xf>
    <xf numFmtId="1" fontId="91" fillId="0" borderId="0" xfId="20" applyNumberFormat="1" applyFont="1" applyFill="1" applyBorder="1" applyAlignment="1">
      <alignment horizontal="center" vertical="center" shrinkToFit="1"/>
      <protection/>
    </xf>
    <xf numFmtId="165" fontId="90" fillId="0" borderId="0" xfId="20" applyNumberFormat="1" applyFont="1" applyFill="1" applyBorder="1" applyAlignment="1">
      <alignment vertical="center"/>
      <protection/>
    </xf>
    <xf numFmtId="0" fontId="91" fillId="0" borderId="25" xfId="20" applyFont="1" applyFill="1" applyBorder="1" applyAlignment="1">
      <alignment horizontal="center" vertical="center"/>
      <protection/>
    </xf>
    <xf numFmtId="0" fontId="5" fillId="0" borderId="26" xfId="20" applyFont="1" applyFill="1" applyBorder="1" applyAlignment="1">
      <alignment vertical="center"/>
      <protection/>
    </xf>
    <xf numFmtId="0" fontId="93" fillId="0" borderId="2" xfId="20" applyFont="1" applyFill="1" applyBorder="1" applyAlignment="1">
      <alignment vertical="center"/>
      <protection/>
    </xf>
    <xf numFmtId="0" fontId="159" fillId="0" borderId="2" xfId="20" applyFont="1" applyFill="1" applyBorder="1" applyAlignment="1">
      <alignment vertical="center"/>
      <protection/>
    </xf>
    <xf numFmtId="0" fontId="93" fillId="0" borderId="2" xfId="20" applyFont="1" applyFill="1" applyBorder="1" applyAlignment="1">
      <alignment horizontal="center" vertical="center" shrinkToFit="1"/>
      <protection/>
    </xf>
    <xf numFmtId="0" fontId="94" fillId="0" borderId="2" xfId="20" applyFont="1" applyFill="1" applyBorder="1" applyAlignment="1">
      <alignment horizontal="center" vertical="center"/>
      <protection/>
    </xf>
    <xf numFmtId="165" fontId="93" fillId="0" borderId="2" xfId="20" applyNumberFormat="1" applyFont="1" applyFill="1" applyBorder="1" applyAlignment="1">
      <alignment vertical="center"/>
      <protection/>
    </xf>
    <xf numFmtId="164" fontId="93" fillId="0" borderId="2" xfId="20" applyNumberFormat="1" applyFont="1" applyFill="1" applyBorder="1" applyAlignment="1">
      <alignment horizontal="right" vertical="center"/>
      <protection/>
    </xf>
    <xf numFmtId="0" fontId="94" fillId="0" borderId="27" xfId="20" applyFont="1" applyFill="1" applyBorder="1" applyAlignment="1">
      <alignment horizontal="center" vertical="center"/>
      <protection/>
    </xf>
    <xf numFmtId="165" fontId="132" fillId="0" borderId="0" xfId="20" applyNumberFormat="1" applyFont="1" applyFill="1" applyBorder="1" applyAlignment="1" applyProtection="1">
      <alignment horizontal="center" vertical="center" shrinkToFit="1"/>
      <protection locked="0"/>
    </xf>
    <xf numFmtId="181" fontId="90" fillId="0" borderId="0" xfId="20" applyNumberFormat="1" applyFont="1" applyFill="1" applyBorder="1" applyAlignment="1">
      <alignment vertical="center"/>
      <protection/>
    </xf>
    <xf numFmtId="164" fontId="93" fillId="2" borderId="9" xfId="20" applyNumberFormat="1" applyFont="1" applyFill="1" applyBorder="1" applyAlignment="1">
      <alignment horizontal="left" vertical="center"/>
      <protection/>
    </xf>
    <xf numFmtId="164" fontId="93" fillId="2" borderId="24" xfId="20" applyNumberFormat="1" applyFont="1" applyFill="1" applyBorder="1" applyAlignment="1">
      <alignment horizontal="right" vertical="center"/>
      <protection/>
    </xf>
    <xf numFmtId="164" fontId="93" fillId="2" borderId="23" xfId="20" applyNumberFormat="1" applyFont="1" applyFill="1" applyBorder="1" applyAlignment="1">
      <alignment vertical="center"/>
      <protection/>
    </xf>
    <xf numFmtId="1" fontId="93" fillId="0" borderId="0" xfId="20" applyNumberFormat="1" applyFont="1" applyFill="1" applyBorder="1" applyAlignment="1">
      <alignment vertical="center"/>
      <protection/>
    </xf>
    <xf numFmtId="164" fontId="93" fillId="2" borderId="8" xfId="20" applyNumberFormat="1" applyFont="1" applyFill="1" applyBorder="1" applyAlignment="1">
      <alignment horizontal="left" vertical="center"/>
      <protection/>
    </xf>
    <xf numFmtId="164" fontId="93" fillId="2" borderId="16" xfId="20" applyNumberFormat="1" applyFont="1" applyFill="1" applyBorder="1" applyAlignment="1">
      <alignment horizontal="right" vertical="center"/>
      <protection/>
    </xf>
    <xf numFmtId="164" fontId="93" fillId="2" borderId="25" xfId="20" applyNumberFormat="1" applyFont="1" applyFill="1" applyBorder="1" applyAlignment="1">
      <alignment vertical="center"/>
      <protection/>
    </xf>
    <xf numFmtId="0" fontId="5" fillId="0" borderId="6" xfId="20" applyFont="1" applyFill="1" applyBorder="1" applyAlignment="1">
      <alignment vertical="center"/>
      <protection/>
    </xf>
    <xf numFmtId="0" fontId="93" fillId="0" borderId="4" xfId="20" applyFont="1" applyFill="1" applyBorder="1" applyAlignment="1">
      <alignment horizontal="center" vertical="center"/>
      <protection/>
    </xf>
    <xf numFmtId="1" fontId="93" fillId="0" borderId="4" xfId="20" applyNumberFormat="1" applyFont="1" applyFill="1" applyBorder="1" applyAlignment="1">
      <alignment vertical="center"/>
      <protection/>
    </xf>
    <xf numFmtId="0" fontId="93" fillId="0" borderId="4" xfId="20" applyFont="1" applyFill="1" applyBorder="1" applyAlignment="1">
      <alignment vertical="center"/>
      <protection/>
    </xf>
    <xf numFmtId="0" fontId="94" fillId="0" borderId="4" xfId="20" applyFont="1" applyFill="1" applyBorder="1" applyAlignment="1">
      <alignment horizontal="center" vertical="center"/>
      <protection/>
    </xf>
    <xf numFmtId="0" fontId="94" fillId="0" borderId="4" xfId="20" applyFont="1" applyFill="1" applyBorder="1" applyAlignment="1">
      <alignment horizontal="center" vertical="center" shrinkToFit="1"/>
      <protection/>
    </xf>
    <xf numFmtId="1" fontId="94" fillId="0" borderId="4" xfId="20" applyNumberFormat="1" applyFont="1" applyFill="1" applyBorder="1" applyAlignment="1">
      <alignment horizontal="center" vertical="center" shrinkToFit="1"/>
      <protection/>
    </xf>
    <xf numFmtId="0" fontId="93" fillId="0" borderId="7" xfId="20" applyFont="1" applyFill="1" applyBorder="1" applyAlignment="1">
      <alignment vertical="center"/>
      <protection/>
    </xf>
    <xf numFmtId="0" fontId="93" fillId="0" borderId="6" xfId="20" applyFont="1" applyFill="1" applyBorder="1" applyAlignment="1">
      <alignment vertical="center"/>
      <protection/>
    </xf>
    <xf numFmtId="0" fontId="159" fillId="0" borderId="4" xfId="20" applyFont="1" applyFill="1" applyBorder="1" applyAlignment="1">
      <alignment vertical="center"/>
      <protection/>
    </xf>
    <xf numFmtId="0" fontId="93" fillId="0" borderId="4" xfId="20" applyFont="1" applyFill="1" applyBorder="1" applyAlignment="1">
      <alignment horizontal="center" vertical="center" shrinkToFit="1"/>
      <protection/>
    </xf>
    <xf numFmtId="165" fontId="93" fillId="0" borderId="4" xfId="20" applyNumberFormat="1" applyFont="1" applyFill="1" applyBorder="1" applyAlignment="1">
      <alignment vertical="center"/>
      <protection/>
    </xf>
    <xf numFmtId="164" fontId="93" fillId="0" borderId="4" xfId="20" applyNumberFormat="1" applyFont="1" applyFill="1" applyBorder="1" applyAlignment="1">
      <alignment horizontal="right" vertical="center"/>
      <protection/>
    </xf>
    <xf numFmtId="0" fontId="94" fillId="0" borderId="7" xfId="20" applyFont="1" applyFill="1" applyBorder="1" applyAlignment="1">
      <alignment horizontal="center" vertical="center"/>
      <protection/>
    </xf>
    <xf numFmtId="164" fontId="90" fillId="2" borderId="8" xfId="20" applyNumberFormat="1" applyFont="1" applyFill="1" applyBorder="1" applyAlignment="1">
      <alignment horizontal="left" vertical="center"/>
      <protection/>
    </xf>
    <xf numFmtId="164" fontId="90" fillId="2" borderId="16" xfId="20" applyNumberFormat="1" applyFont="1" applyFill="1" applyBorder="1" applyAlignment="1">
      <alignment horizontal="right" vertical="center"/>
      <protection/>
    </xf>
    <xf numFmtId="164" fontId="90" fillId="2" borderId="25" xfId="20" applyNumberFormat="1" applyFont="1" applyFill="1" applyBorder="1" applyAlignment="1">
      <alignment vertical="center"/>
      <protection/>
    </xf>
    <xf numFmtId="164" fontId="93" fillId="2" borderId="22" xfId="20" applyNumberFormat="1" applyFont="1" applyFill="1" applyBorder="1" applyAlignment="1">
      <alignment horizontal="left" vertical="center"/>
      <protection/>
    </xf>
    <xf numFmtId="164" fontId="93" fillId="2" borderId="26" xfId="20" applyNumberFormat="1" applyFont="1" applyFill="1" applyBorder="1" applyAlignment="1">
      <alignment horizontal="right" vertical="center"/>
      <protection/>
    </xf>
    <xf numFmtId="164" fontId="93" fillId="2" borderId="27" xfId="20" applyNumberFormat="1" applyFont="1" applyFill="1" applyBorder="1" applyAlignment="1">
      <alignment vertical="center"/>
      <protection/>
    </xf>
    <xf numFmtId="0" fontId="93" fillId="0" borderId="2" xfId="20" applyFont="1" applyFill="1" applyBorder="1" applyAlignment="1">
      <alignment horizontal="center" vertical="center"/>
      <protection/>
    </xf>
    <xf numFmtId="0" fontId="94" fillId="0" borderId="2" xfId="20" applyFont="1" applyFill="1" applyBorder="1" applyAlignment="1">
      <alignment horizontal="center" vertical="center" shrinkToFit="1"/>
      <protection/>
    </xf>
    <xf numFmtId="1" fontId="94" fillId="0" borderId="2" xfId="20" applyNumberFormat="1" applyFont="1" applyFill="1" applyBorder="1" applyAlignment="1">
      <alignment horizontal="center" vertical="center" shrinkToFit="1"/>
      <protection/>
    </xf>
    <xf numFmtId="165" fontId="3" fillId="0" borderId="0" xfId="20" applyNumberFormat="1" applyFont="1" applyBorder="1" applyAlignment="1">
      <alignment vertical="center"/>
      <protection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24" xfId="0" applyFont="1" applyBorder="1" applyAlignment="1" applyProtection="1">
      <alignment horizontal="left" vertical="top" wrapText="1"/>
      <protection locked="0"/>
    </xf>
    <xf numFmtId="0" fontId="3" fillId="0" borderId="2" xfId="0" applyFont="1" applyBorder="1" applyAlignment="1">
      <alignment horizontal="right" shrinkToFit="1"/>
    </xf>
    <xf numFmtId="0" fontId="3" fillId="0" borderId="2" xfId="0" applyFont="1" applyBorder="1" applyAlignment="1" applyProtection="1">
      <alignment horizontal="left"/>
      <protection locked="0"/>
    </xf>
    <xf numFmtId="0" fontId="52" fillId="0" borderId="1" xfId="0" applyFont="1" applyBorder="1" applyAlignment="1" applyProtection="1">
      <alignment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84" fillId="0" borderId="1" xfId="0" applyFont="1" applyBorder="1" applyAlignment="1" applyProtection="1">
      <alignment horizontal="left" vertical="center"/>
      <protection locked="0"/>
    </xf>
    <xf numFmtId="0" fontId="10" fillId="0" borderId="1" xfId="0" applyFont="1" applyBorder="1" applyAlignment="1" applyProtection="1">
      <alignment horizontal="left" vertical="center"/>
      <protection locked="0"/>
    </xf>
    <xf numFmtId="0" fontId="7" fillId="0" borderId="0" xfId="17" applyFill="1" applyAlignment="1" applyProtection="1">
      <alignment vertical="center"/>
      <protection locked="0"/>
    </xf>
    <xf numFmtId="0" fontId="52" fillId="0" borderId="1" xfId="0" applyFont="1" applyBorder="1" applyAlignment="1">
      <alignment vertical="center"/>
    </xf>
    <xf numFmtId="0" fontId="5" fillId="0" borderId="1" xfId="0" applyFont="1" applyBorder="1" applyAlignment="1" applyProtection="1">
      <alignment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53" fillId="0" borderId="6" xfId="0" applyFont="1" applyBorder="1" applyAlignment="1">
      <alignment horizontal="left"/>
    </xf>
    <xf numFmtId="0" fontId="53" fillId="0" borderId="7" xfId="0" applyFont="1" applyBorder="1" applyAlignment="1">
      <alignment horizontal="left"/>
    </xf>
    <xf numFmtId="0" fontId="75" fillId="0" borderId="0" xfId="21" applyFont="1" applyBorder="1" applyAlignment="1">
      <alignment horizontal="center" shrinkToFit="1"/>
      <protection/>
    </xf>
    <xf numFmtId="164" fontId="8" fillId="0" borderId="0" xfId="20" applyNumberFormat="1" applyFont="1" applyBorder="1" applyAlignment="1">
      <alignment horizontal="right" vertical="center" shrinkToFit="1"/>
      <protection/>
    </xf>
    <xf numFmtId="164" fontId="8" fillId="0" borderId="0" xfId="20" applyNumberFormat="1" applyFont="1" applyBorder="1" applyAlignment="1">
      <alignment horizontal="right" shrinkToFit="1"/>
      <protection/>
    </xf>
    <xf numFmtId="0" fontId="59" fillId="0" borderId="0" xfId="18" applyFont="1" applyBorder="1" applyAlignment="1">
      <alignment vertical="center"/>
    </xf>
    <xf numFmtId="0" fontId="59" fillId="0" borderId="0" xfId="18" applyFont="1" applyBorder="1" applyAlignment="1">
      <alignment/>
    </xf>
    <xf numFmtId="0" fontId="59" fillId="0" borderId="0" xfId="17" applyFont="1" applyBorder="1" applyAlignment="1">
      <alignment/>
    </xf>
    <xf numFmtId="0" fontId="3" fillId="0" borderId="1" xfId="0" applyFont="1" applyBorder="1" applyAlignment="1" applyProtection="1">
      <alignment horizontal="left"/>
      <protection locked="0"/>
    </xf>
    <xf numFmtId="0" fontId="53" fillId="0" borderId="1" xfId="0" applyFont="1" applyBorder="1" applyAlignment="1">
      <alignment horizontal="left"/>
    </xf>
    <xf numFmtId="0" fontId="80" fillId="0" borderId="0" xfId="0" applyFont="1" applyAlignment="1">
      <alignment vertical="top" wrapText="1"/>
    </xf>
    <xf numFmtId="9" fontId="80" fillId="0" borderId="0" xfId="0" applyNumberFormat="1" applyFont="1" applyAlignment="1">
      <alignment vertical="top" shrinkToFit="1"/>
    </xf>
    <xf numFmtId="0" fontId="7" fillId="0" borderId="0" xfId="17" applyAlignment="1">
      <alignment vertical="top"/>
    </xf>
    <xf numFmtId="0" fontId="80" fillId="0" borderId="0" xfId="0" applyNumberFormat="1" applyFont="1" applyAlignment="1">
      <alignment vertical="top" wrapText="1"/>
    </xf>
    <xf numFmtId="176" fontId="80" fillId="0" borderId="0" xfId="0" applyNumberFormat="1" applyFont="1" applyAlignment="1">
      <alignment horizontal="center" vertical="center" shrinkToFit="1"/>
    </xf>
    <xf numFmtId="0" fontId="12" fillId="0" borderId="0" xfId="17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 vertical="center"/>
      <protection locked="0"/>
    </xf>
    <xf numFmtId="9" fontId="97" fillId="0" borderId="0" xfId="0" applyNumberFormat="1" applyFont="1" applyAlignment="1">
      <alignment vertical="top" shrinkToFit="1"/>
    </xf>
    <xf numFmtId="0" fontId="80" fillId="0" borderId="0" xfId="0" applyNumberFormat="1" applyFont="1" applyAlignment="1">
      <alignment wrapText="1"/>
    </xf>
    <xf numFmtId="0" fontId="84" fillId="0" borderId="0" xfId="0" applyNumberFormat="1" applyFont="1" applyAlignment="1">
      <alignment vertical="top" wrapText="1"/>
    </xf>
    <xf numFmtId="164" fontId="3" fillId="0" borderId="1" xfId="0" applyNumberFormat="1" applyFont="1" applyBorder="1" applyAlignment="1" applyProtection="1">
      <alignment horizontal="right" vertical="center"/>
      <protection locked="0"/>
    </xf>
    <xf numFmtId="0" fontId="52" fillId="0" borderId="1" xfId="0" applyFont="1" applyBorder="1" applyAlignment="1">
      <alignment/>
    </xf>
    <xf numFmtId="0" fontId="84" fillId="0" borderId="6" xfId="0" applyFont="1" applyBorder="1" applyAlignment="1" applyProtection="1">
      <alignment horizontal="left" vertical="center"/>
      <protection locked="0"/>
    </xf>
    <xf numFmtId="0" fontId="84" fillId="0" borderId="4" xfId="0" applyFont="1" applyBorder="1" applyAlignment="1" applyProtection="1">
      <alignment horizontal="left" vertical="center"/>
      <protection locked="0"/>
    </xf>
    <xf numFmtId="0" fontId="84" fillId="0" borderId="7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25" xfId="0" applyFont="1" applyBorder="1" applyAlignment="1" applyProtection="1">
      <alignment horizontal="left" vertical="top" wrapText="1"/>
      <protection locked="0"/>
    </xf>
    <xf numFmtId="0" fontId="5" fillId="0" borderId="26" xfId="0" applyFont="1" applyBorder="1" applyAlignment="1" applyProtection="1">
      <alignment horizontal="left" vertical="top" wrapText="1"/>
      <protection locked="0"/>
    </xf>
    <xf numFmtId="0" fontId="5" fillId="0" borderId="2" xfId="0" applyFont="1" applyBorder="1" applyAlignment="1" applyProtection="1">
      <alignment horizontal="left" vertical="top" wrapText="1"/>
      <protection locked="0"/>
    </xf>
    <xf numFmtId="0" fontId="5" fillId="0" borderId="27" xfId="0" applyFont="1" applyBorder="1" applyAlignment="1" applyProtection="1">
      <alignment horizontal="left" vertical="top" wrapText="1"/>
      <protection locked="0"/>
    </xf>
    <xf numFmtId="0" fontId="52" fillId="0" borderId="6" xfId="0" applyFont="1" applyBorder="1" applyAlignment="1">
      <alignment vertical="center"/>
    </xf>
    <xf numFmtId="0" fontId="5" fillId="0" borderId="2" xfId="0" applyFont="1" applyBorder="1" applyAlignment="1" applyProtection="1">
      <alignment horizontal="left" shrinkToFit="1"/>
      <protection locked="0"/>
    </xf>
    <xf numFmtId="164" fontId="39" fillId="0" borderId="0" xfId="20" applyNumberFormat="1" applyFont="1" applyBorder="1" applyAlignment="1">
      <alignment horizontal="center" shrinkToFit="1"/>
      <protection/>
    </xf>
    <xf numFmtId="0" fontId="109" fillId="12" borderId="4" xfId="18" applyFont="1" applyFill="1" applyBorder="1" applyAlignment="1">
      <alignment horizontal="center" vertical="center"/>
    </xf>
    <xf numFmtId="0" fontId="14" fillId="0" borderId="0" xfId="20" applyFont="1" applyAlignment="1">
      <alignment horizontal="left" vertical="center" textRotation="90"/>
      <protection/>
    </xf>
    <xf numFmtId="0" fontId="138" fillId="0" borderId="0" xfId="20" applyFont="1" applyAlignment="1">
      <alignment horizontal="center" vertical="center" textRotation="90"/>
      <protection/>
    </xf>
    <xf numFmtId="0" fontId="5" fillId="0" borderId="10" xfId="20" applyFont="1" applyBorder="1" applyAlignment="1">
      <alignment horizontal="center" wrapText="1"/>
      <protection/>
    </xf>
    <xf numFmtId="0" fontId="5" fillId="0" borderId="2" xfId="20" applyFont="1" applyBorder="1" applyAlignment="1">
      <alignment horizontal="center" wrapText="1"/>
      <protection/>
    </xf>
    <xf numFmtId="0" fontId="57" fillId="0" borderId="0" xfId="20" applyFont="1" applyAlignment="1">
      <alignment vertical="center" textRotation="90" wrapText="1"/>
      <protection/>
    </xf>
    <xf numFmtId="0" fontId="4" fillId="0" borderId="0" xfId="20" applyFont="1" applyAlignment="1">
      <alignment vertical="center" textRotation="90" wrapText="1"/>
      <protection/>
    </xf>
    <xf numFmtId="0" fontId="12" fillId="0" borderId="0" xfId="18" applyFont="1" applyAlignment="1">
      <alignment horizontal="left" vertical="center" textRotation="90"/>
    </xf>
    <xf numFmtId="0" fontId="7" fillId="0" borderId="0" xfId="18" applyAlignment="1" applyProtection="1">
      <alignment horizontal="left" vertical="center" textRotation="90"/>
      <protection locked="0"/>
    </xf>
    <xf numFmtId="0" fontId="124" fillId="13" borderId="0" xfId="20" applyFont="1" applyFill="1" applyAlignment="1">
      <alignment horizontal="center" vertical="center" wrapText="1"/>
      <protection/>
    </xf>
    <xf numFmtId="0" fontId="59" fillId="0" borderId="0" xfId="17" applyFont="1" applyBorder="1" applyAlignment="1">
      <alignment/>
    </xf>
    <xf numFmtId="0" fontId="109" fillId="0" borderId="4" xfId="18" applyFont="1" applyBorder="1" applyAlignment="1">
      <alignment horizontal="center" vertical="center"/>
    </xf>
    <xf numFmtId="0" fontId="104" fillId="2" borderId="4" xfId="20" applyFont="1" applyFill="1" applyBorder="1" applyAlignment="1">
      <alignment vertical="center" wrapText="1"/>
      <protection/>
    </xf>
    <xf numFmtId="0" fontId="4" fillId="2" borderId="4" xfId="20" applyFont="1" applyFill="1" applyBorder="1" applyAlignment="1">
      <alignment vertical="center" wrapText="1"/>
      <protection/>
    </xf>
    <xf numFmtId="0" fontId="45" fillId="0" borderId="0" xfId="18" applyFont="1" applyAlignment="1" applyProtection="1">
      <alignment horizontal="center" vertical="center" textRotation="90"/>
      <protection locked="0"/>
    </xf>
    <xf numFmtId="0" fontId="7" fillId="0" borderId="0" xfId="18" applyAlignment="1" applyProtection="1">
      <alignment horizontal="center" vertical="center" textRotation="90"/>
      <protection locked="0"/>
    </xf>
    <xf numFmtId="0" fontId="1" fillId="8" borderId="0" xfId="20" applyFont="1" applyFill="1" applyBorder="1" applyAlignment="1" applyProtection="1">
      <alignment vertical="center"/>
      <protection locked="0"/>
    </xf>
    <xf numFmtId="0" fontId="148" fillId="0" borderId="0" xfId="20" applyFont="1" applyBorder="1" applyAlignment="1">
      <alignment vertical="center" wrapText="1"/>
      <protection/>
    </xf>
    <xf numFmtId="0" fontId="89" fillId="0" borderId="0" xfId="20" applyFont="1" applyBorder="1" applyAlignment="1">
      <alignment vertical="center" wrapText="1"/>
      <protection/>
    </xf>
    <xf numFmtId="0" fontId="4" fillId="0" borderId="24" xfId="20" applyFont="1" applyBorder="1" applyAlignment="1">
      <alignment vertical="center"/>
      <protection/>
    </xf>
    <xf numFmtId="0" fontId="1" fillId="0" borderId="10" xfId="20" applyFont="1" applyBorder="1" applyAlignment="1">
      <alignment vertical="center"/>
      <protection/>
    </xf>
    <xf numFmtId="0" fontId="3" fillId="0" borderId="0" xfId="20" applyFont="1" applyAlignment="1">
      <alignment vertical="center" textRotation="90"/>
      <protection/>
    </xf>
    <xf numFmtId="0" fontId="35" fillId="0" borderId="0" xfId="20" applyFont="1" applyAlignment="1">
      <alignment vertical="center" wrapText="1"/>
      <protection/>
    </xf>
    <xf numFmtId="0" fontId="163" fillId="0" borderId="25" xfId="18" applyFont="1" applyBorder="1" applyAlignment="1" applyProtection="1">
      <alignment horizontal="left" vertical="center" textRotation="90"/>
      <protection locked="0"/>
    </xf>
    <xf numFmtId="0" fontId="21" fillId="0" borderId="0" xfId="20" applyFont="1" applyAlignment="1">
      <alignment horizontal="right" vertical="center" textRotation="90" wrapText="1"/>
      <protection/>
    </xf>
    <xf numFmtId="0" fontId="165" fillId="0" borderId="16" xfId="20" applyFont="1" applyBorder="1" applyAlignment="1">
      <alignment vertical="center"/>
      <protection/>
    </xf>
    <xf numFmtId="0" fontId="165" fillId="0" borderId="0" xfId="20" applyFont="1" applyBorder="1" applyAlignment="1">
      <alignment vertical="center"/>
      <protection/>
    </xf>
    <xf numFmtId="0" fontId="7" fillId="0" borderId="0" xfId="18" applyAlignment="1">
      <alignment horizontal="left" vertical="center" textRotation="90"/>
    </xf>
    <xf numFmtId="0" fontId="23" fillId="0" borderId="0" xfId="20" applyFont="1" applyAlignment="1">
      <alignment horizontal="left" vertical="center" textRotation="90" wrapText="1"/>
      <protection/>
    </xf>
    <xf numFmtId="0" fontId="5" fillId="0" borderId="10" xfId="20" applyFont="1" applyBorder="1" applyAlignment="1">
      <alignment horizontal="center" vertical="center" wrapText="1"/>
      <protection/>
    </xf>
    <xf numFmtId="0" fontId="5" fillId="0" borderId="2" xfId="20" applyFont="1" applyBorder="1" applyAlignment="1">
      <alignment horizontal="center" vertical="center" wrapText="1"/>
      <protection/>
    </xf>
    <xf numFmtId="2" fontId="4" fillId="5" borderId="28" xfId="20" applyNumberFormat="1" applyFont="1" applyFill="1" applyBorder="1" applyAlignment="1" applyProtection="1" quotePrefix="1">
      <alignment horizontal="center" vertical="center"/>
      <protection locked="0"/>
    </xf>
    <xf numFmtId="2" fontId="4" fillId="5" borderId="13" xfId="20" applyNumberFormat="1" applyFont="1" applyFill="1" applyBorder="1" applyAlignment="1" applyProtection="1">
      <alignment horizontal="center" vertical="center"/>
      <protection locked="0"/>
    </xf>
    <xf numFmtId="2" fontId="4" fillId="5" borderId="29" xfId="20" applyNumberFormat="1" applyFont="1" applyFill="1" applyBorder="1" applyAlignment="1" applyProtection="1">
      <alignment horizontal="center" vertical="center"/>
      <protection locked="0"/>
    </xf>
    <xf numFmtId="0" fontId="82" fillId="2" borderId="0" xfId="20" applyFont="1" applyFill="1" applyBorder="1" applyAlignment="1">
      <alignment vertical="center" textRotation="90"/>
      <protection/>
    </xf>
    <xf numFmtId="0" fontId="29" fillId="0" borderId="0" xfId="20" applyFont="1" applyBorder="1" applyAlignment="1">
      <alignment vertical="center"/>
      <protection/>
    </xf>
    <xf numFmtId="0" fontId="5" fillId="0" borderId="0" xfId="20" applyFont="1" applyAlignment="1">
      <alignment horizontal="left" vertical="center" textRotation="90"/>
      <protection/>
    </xf>
    <xf numFmtId="0" fontId="19" fillId="5" borderId="11" xfId="20" applyFont="1" applyFill="1" applyBorder="1" applyAlignment="1">
      <alignment vertical="center" wrapText="1"/>
      <protection/>
    </xf>
    <xf numFmtId="0" fontId="1" fillId="8" borderId="2" xfId="20" applyFont="1" applyFill="1" applyBorder="1" applyAlignment="1" applyProtection="1">
      <alignment vertical="center"/>
      <protection locked="0"/>
    </xf>
    <xf numFmtId="0" fontId="4" fillId="0" borderId="26" xfId="20" applyFont="1" applyBorder="1" applyAlignment="1">
      <alignment vertical="center"/>
      <protection/>
    </xf>
    <xf numFmtId="0" fontId="1" fillId="0" borderId="2" xfId="20" applyFont="1" applyBorder="1" applyAlignment="1">
      <alignment vertical="center"/>
      <protection/>
    </xf>
    <xf numFmtId="0" fontId="1" fillId="8" borderId="10" xfId="20" applyFont="1" applyFill="1" applyBorder="1" applyAlignment="1" applyProtection="1">
      <alignment vertical="center"/>
      <protection locked="0"/>
    </xf>
    <xf numFmtId="1" fontId="19" fillId="2" borderId="0" xfId="20" applyNumberFormat="1" applyFont="1" applyFill="1" applyBorder="1" applyAlignment="1" applyProtection="1">
      <alignment horizontal="center" vertical="center" textRotation="90" shrinkToFit="1"/>
      <protection/>
    </xf>
    <xf numFmtId="0" fontId="19" fillId="2" borderId="0" xfId="20" applyFont="1" applyFill="1" applyBorder="1" applyAlignment="1" applyProtection="1">
      <alignment horizontal="center" vertical="center" textRotation="90" shrinkToFit="1"/>
      <protection/>
    </xf>
    <xf numFmtId="0" fontId="17" fillId="2" borderId="0" xfId="20" applyNumberFormat="1" applyFont="1" applyFill="1" applyBorder="1" applyAlignment="1" applyProtection="1">
      <alignment horizontal="center" vertical="center" wrapText="1"/>
      <protection/>
    </xf>
    <xf numFmtId="0" fontId="5" fillId="0" borderId="0" xfId="20" applyFont="1" applyAlignment="1">
      <alignment horizontal="center" vertical="center" textRotation="90"/>
      <protection/>
    </xf>
    <xf numFmtId="0" fontId="165" fillId="0" borderId="24" xfId="20" applyFont="1" applyBorder="1" applyAlignment="1">
      <alignment vertical="center"/>
      <protection/>
    </xf>
    <xf numFmtId="0" fontId="165" fillId="0" borderId="10" xfId="20" applyFont="1" applyBorder="1" applyAlignment="1">
      <alignment vertical="center"/>
      <protection/>
    </xf>
    <xf numFmtId="0" fontId="165" fillId="5" borderId="6" xfId="20" applyFont="1" applyFill="1" applyBorder="1" applyAlignment="1">
      <alignment horizontal="right" vertical="center"/>
      <protection/>
    </xf>
    <xf numFmtId="0" fontId="165" fillId="5" borderId="4" xfId="20" applyFont="1" applyFill="1" applyBorder="1" applyAlignment="1">
      <alignment horizontal="right" vertical="center"/>
      <protection/>
    </xf>
    <xf numFmtId="0" fontId="165" fillId="5" borderId="7" xfId="20" applyFont="1" applyFill="1" applyBorder="1" applyAlignment="1">
      <alignment horizontal="right" vertical="center"/>
      <protection/>
    </xf>
    <xf numFmtId="0" fontId="10" fillId="0" borderId="4" xfId="20" applyFont="1" applyBorder="1" applyAlignment="1">
      <alignment vertical="center"/>
      <protection/>
    </xf>
    <xf numFmtId="0" fontId="3" fillId="0" borderId="8" xfId="20" applyFont="1" applyBorder="1" applyAlignment="1">
      <alignment horizontal="center" vertical="center" textRotation="90" shrinkToFit="1"/>
      <protection/>
    </xf>
    <xf numFmtId="0" fontId="5" fillId="0" borderId="8" xfId="20" applyFont="1" applyBorder="1" applyAlignment="1">
      <alignment horizontal="center" vertical="center" textRotation="90"/>
      <protection/>
    </xf>
    <xf numFmtId="0" fontId="165" fillId="0" borderId="26" xfId="20" applyFont="1" applyBorder="1" applyAlignment="1">
      <alignment vertical="center"/>
      <protection/>
    </xf>
    <xf numFmtId="0" fontId="165" fillId="0" borderId="2" xfId="20" applyFont="1" applyBorder="1" applyAlignment="1">
      <alignment vertical="center"/>
      <protection/>
    </xf>
    <xf numFmtId="0" fontId="1" fillId="0" borderId="0" xfId="20" applyFont="1" applyBorder="1" applyAlignment="1" applyProtection="1">
      <alignment horizontal="left"/>
      <protection locked="0"/>
    </xf>
    <xf numFmtId="0" fontId="12" fillId="0" borderId="4" xfId="18" applyFont="1" applyBorder="1" applyAlignment="1" applyProtection="1">
      <alignment horizontal="center" vertical="center"/>
      <protection locked="0"/>
    </xf>
    <xf numFmtId="0" fontId="45" fillId="0" borderId="0" xfId="18" applyFont="1" applyAlignment="1">
      <alignment textRotation="90"/>
    </xf>
    <xf numFmtId="0" fontId="7" fillId="0" borderId="0" xfId="18" applyAlignment="1">
      <alignment textRotation="90"/>
    </xf>
    <xf numFmtId="0" fontId="7" fillId="0" borderId="2" xfId="18" applyBorder="1" applyAlignment="1">
      <alignment textRotation="90"/>
    </xf>
    <xf numFmtId="0" fontId="134" fillId="0" borderId="0" xfId="18" applyFont="1" applyAlignment="1">
      <alignment horizontal="center" vertical="center" textRotation="90"/>
    </xf>
    <xf numFmtId="0" fontId="135" fillId="0" borderId="0" xfId="18" applyFont="1" applyAlignment="1">
      <alignment horizontal="center" vertical="center" textRotation="90"/>
    </xf>
    <xf numFmtId="0" fontId="1" fillId="0" borderId="10" xfId="20" applyFont="1" applyBorder="1" applyAlignment="1" applyProtection="1">
      <alignment horizontal="left"/>
      <protection locked="0"/>
    </xf>
    <xf numFmtId="0" fontId="3" fillId="5" borderId="0" xfId="20" applyFont="1" applyFill="1" applyBorder="1" applyAlignment="1">
      <alignment vertical="center"/>
      <protection/>
    </xf>
    <xf numFmtId="0" fontId="3" fillId="5" borderId="2" xfId="20" applyFont="1" applyFill="1" applyBorder="1" applyAlignment="1">
      <alignment vertical="center"/>
      <protection/>
    </xf>
    <xf numFmtId="0" fontId="1" fillId="0" borderId="0" xfId="20" applyFont="1" applyBorder="1" applyAlignment="1">
      <alignment vertical="center"/>
      <protection/>
    </xf>
    <xf numFmtId="164" fontId="39" fillId="0" borderId="0" xfId="20" applyNumberFormat="1" applyFont="1" applyBorder="1" applyAlignment="1">
      <alignment horizontal="left" shrinkToFit="1"/>
      <protection/>
    </xf>
    <xf numFmtId="164" fontId="161" fillId="0" borderId="0" xfId="20" applyNumberFormat="1" applyFont="1" applyBorder="1" applyAlignment="1">
      <alignment horizontal="right" shrinkToFit="1"/>
      <protection/>
    </xf>
    <xf numFmtId="0" fontId="1" fillId="0" borderId="15" xfId="20" applyFont="1" applyBorder="1" applyAlignment="1">
      <alignment vertical="center"/>
      <protection/>
    </xf>
    <xf numFmtId="164" fontId="39" fillId="0" borderId="0" xfId="20" applyNumberFormat="1" applyFont="1" applyBorder="1" applyAlignment="1">
      <alignment horizontal="left" vertical="center" shrinkToFit="1"/>
      <protection/>
    </xf>
    <xf numFmtId="0" fontId="11" fillId="0" borderId="0" xfId="20" applyFont="1" applyBorder="1" applyAlignment="1">
      <alignment vertical="center" shrinkToFit="1"/>
      <protection/>
    </xf>
    <xf numFmtId="0" fontId="1" fillId="0" borderId="2" xfId="20" applyFont="1" applyBorder="1" applyAlignment="1" applyProtection="1">
      <alignment horizontal="left"/>
      <protection locked="0"/>
    </xf>
    <xf numFmtId="0" fontId="104" fillId="2" borderId="30" xfId="20" applyFont="1" applyFill="1" applyBorder="1" applyAlignment="1">
      <alignment horizontal="center" vertical="center" textRotation="90"/>
      <protection/>
    </xf>
    <xf numFmtId="0" fontId="104" fillId="2" borderId="31" xfId="20" applyFont="1" applyFill="1" applyBorder="1" applyAlignment="1">
      <alignment horizontal="center" vertical="center" textRotation="90"/>
      <protection/>
    </xf>
    <xf numFmtId="0" fontId="104" fillId="2" borderId="17" xfId="20" applyFont="1" applyFill="1" applyBorder="1" applyAlignment="1">
      <alignment horizontal="center" vertical="center" textRotation="90"/>
      <protection/>
    </xf>
    <xf numFmtId="0" fontId="104" fillId="2" borderId="3" xfId="20" applyFont="1" applyFill="1" applyBorder="1" applyAlignment="1">
      <alignment horizontal="center" vertical="center" textRotation="90"/>
      <protection/>
    </xf>
    <xf numFmtId="0" fontId="104" fillId="2" borderId="0" xfId="20" applyFont="1" applyFill="1" applyBorder="1" applyAlignment="1">
      <alignment horizontal="center" vertical="center" textRotation="90"/>
      <protection/>
    </xf>
    <xf numFmtId="0" fontId="104" fillId="2" borderId="18" xfId="20" applyFont="1" applyFill="1" applyBorder="1" applyAlignment="1">
      <alignment horizontal="center" vertical="center" textRotation="90"/>
      <protection/>
    </xf>
    <xf numFmtId="0" fontId="104" fillId="2" borderId="19" xfId="20" applyFont="1" applyFill="1" applyBorder="1" applyAlignment="1">
      <alignment horizontal="center" vertical="center" textRotation="90"/>
      <protection/>
    </xf>
    <xf numFmtId="0" fontId="104" fillId="2" borderId="11" xfId="20" applyFont="1" applyFill="1" applyBorder="1" applyAlignment="1">
      <alignment horizontal="center" vertical="center" textRotation="90"/>
      <protection/>
    </xf>
    <xf numFmtId="0" fontId="104" fillId="2" borderId="20" xfId="20" applyFont="1" applyFill="1" applyBorder="1" applyAlignment="1">
      <alignment horizontal="center" vertical="center" textRotation="90"/>
      <protection/>
    </xf>
    <xf numFmtId="0" fontId="36" fillId="0" borderId="10" xfId="20" applyFont="1" applyBorder="1" applyAlignment="1">
      <alignment vertical="top"/>
      <protection/>
    </xf>
    <xf numFmtId="0" fontId="36" fillId="0" borderId="0" xfId="20" applyFont="1" applyBorder="1" applyAlignment="1">
      <alignment vertical="top"/>
      <protection/>
    </xf>
    <xf numFmtId="0" fontId="12" fillId="0" borderId="0" xfId="18" applyFont="1" applyAlignment="1" applyProtection="1">
      <alignment horizontal="left" vertical="center" textRotation="90"/>
      <protection locked="0"/>
    </xf>
    <xf numFmtId="0" fontId="12" fillId="0" borderId="0" xfId="18" applyFont="1" applyAlignment="1" applyProtection="1">
      <alignment horizontal="left" vertical="top" textRotation="90"/>
      <protection locked="0"/>
    </xf>
    <xf numFmtId="0" fontId="5" fillId="0" borderId="0" xfId="20" applyFont="1" applyAlignment="1">
      <alignment vertical="center" textRotation="90" wrapText="1"/>
      <protection/>
    </xf>
    <xf numFmtId="0" fontId="7" fillId="0" borderId="0" xfId="18" applyFont="1" applyAlignment="1" applyProtection="1">
      <alignment horizontal="left" vertical="center" textRotation="90"/>
      <protection locked="0"/>
    </xf>
    <xf numFmtId="0" fontId="86" fillId="0" borderId="0" xfId="18" applyFont="1" applyAlignment="1">
      <alignment horizontal="left" textRotation="90"/>
    </xf>
    <xf numFmtId="0" fontId="5" fillId="8" borderId="0" xfId="20" applyFont="1" applyFill="1" applyBorder="1" applyAlignment="1" applyProtection="1">
      <alignment horizontal="right" vertical="center"/>
      <protection locked="0"/>
    </xf>
    <xf numFmtId="0" fontId="23" fillId="0" borderId="0" xfId="20" applyFont="1" applyAlignment="1">
      <alignment horizontal="left" vertical="center" textRotation="90"/>
      <protection/>
    </xf>
    <xf numFmtId="0" fontId="5" fillId="8" borderId="2" xfId="20" applyFont="1" applyFill="1" applyBorder="1" applyAlignment="1" applyProtection="1">
      <alignment horizontal="right" vertical="center"/>
      <protection locked="0"/>
    </xf>
    <xf numFmtId="0" fontId="15" fillId="2" borderId="0" xfId="20" applyFont="1" applyFill="1" applyAlignment="1">
      <alignment horizontal="left" vertical="center" textRotation="90"/>
      <protection/>
    </xf>
    <xf numFmtId="0" fontId="7" fillId="0" borderId="0" xfId="18" applyBorder="1" applyAlignment="1">
      <alignment shrinkToFit="1"/>
    </xf>
    <xf numFmtId="0" fontId="174" fillId="0" borderId="0" xfId="18" applyFont="1" applyBorder="1" applyAlignment="1">
      <alignment/>
    </xf>
    <xf numFmtId="0" fontId="59" fillId="0" borderId="0" xfId="17" applyFont="1" applyBorder="1" applyAlignment="1">
      <alignment vertical="center"/>
    </xf>
    <xf numFmtId="0" fontId="7" fillId="0" borderId="0" xfId="18" applyBorder="1" applyAlignment="1">
      <alignment vertical="center" shrinkToFit="1"/>
    </xf>
    <xf numFmtId="0" fontId="7" fillId="0" borderId="0" xfId="17" applyBorder="1" applyAlignment="1">
      <alignment shrinkToFit="1"/>
    </xf>
    <xf numFmtId="164" fontId="39" fillId="0" borderId="31" xfId="20" applyNumberFormat="1" applyFont="1" applyBorder="1" applyAlignment="1">
      <alignment vertical="center" shrinkToFit="1"/>
      <protection/>
    </xf>
    <xf numFmtId="164" fontId="39" fillId="0" borderId="0" xfId="20" applyNumberFormat="1" applyFont="1" applyBorder="1" applyAlignment="1">
      <alignment shrinkToFit="1"/>
      <protection/>
    </xf>
    <xf numFmtId="0" fontId="7" fillId="0" borderId="0" xfId="18" applyFont="1" applyBorder="1" applyAlignment="1">
      <alignment shrinkToFit="1"/>
    </xf>
    <xf numFmtId="0" fontId="7" fillId="0" borderId="11" xfId="18" applyBorder="1" applyAlignment="1">
      <alignment vertical="top" shrinkToFit="1"/>
    </xf>
    <xf numFmtId="0" fontId="59" fillId="0" borderId="0" xfId="17" applyFont="1" applyBorder="1" applyAlignment="1">
      <alignment horizontal="center"/>
    </xf>
    <xf numFmtId="0" fontId="59" fillId="0" borderId="25" xfId="17" applyFont="1" applyBorder="1" applyAlignment="1">
      <alignment horizontal="center"/>
    </xf>
    <xf numFmtId="164" fontId="39" fillId="0" borderId="11" xfId="20" applyNumberFormat="1" applyFont="1" applyBorder="1" applyAlignment="1">
      <alignment vertical="top" shrinkToFit="1"/>
      <protection/>
    </xf>
    <xf numFmtId="0" fontId="99" fillId="0" borderId="2" xfId="17" applyFont="1" applyBorder="1" applyAlignment="1">
      <alignment horizontal="center" vertical="top"/>
    </xf>
    <xf numFmtId="0" fontId="109" fillId="0" borderId="0" xfId="18" applyFont="1" applyBorder="1" applyAlignment="1">
      <alignment horizontal="center" vertical="center"/>
    </xf>
    <xf numFmtId="0" fontId="4" fillId="0" borderId="0" xfId="20" applyFont="1" applyAlignment="1">
      <alignment vertical="center" wrapText="1"/>
      <protection/>
    </xf>
    <xf numFmtId="0" fontId="3" fillId="0" borderId="0" xfId="20" applyFont="1" applyAlignment="1">
      <alignment vertical="center" wrapText="1"/>
      <protection/>
    </xf>
    <xf numFmtId="0" fontId="12" fillId="0" borderId="0" xfId="18" applyFont="1" applyAlignment="1" applyProtection="1">
      <alignment vertical="center"/>
      <protection locked="0"/>
    </xf>
    <xf numFmtId="0" fontId="3" fillId="0" borderId="0" xfId="20" applyFont="1" applyAlignment="1" applyProtection="1">
      <alignment vertical="center"/>
      <protection locked="0"/>
    </xf>
    <xf numFmtId="0" fontId="1" fillId="2" borderId="4" xfId="20" applyFont="1" applyFill="1" applyBorder="1" applyAlignment="1">
      <alignment vertical="center" wrapText="1"/>
      <protection/>
    </xf>
    <xf numFmtId="0" fontId="1" fillId="2" borderId="7" xfId="20" applyFont="1" applyFill="1" applyBorder="1" applyAlignment="1">
      <alignment vertical="center" wrapText="1"/>
      <protection/>
    </xf>
    <xf numFmtId="164" fontId="162" fillId="0" borderId="6" xfId="20" applyNumberFormat="1" applyFont="1" applyBorder="1" applyAlignment="1">
      <alignment horizontal="center" vertical="center"/>
      <protection/>
    </xf>
    <xf numFmtId="164" fontId="162" fillId="0" borderId="4" xfId="20" applyNumberFormat="1" applyFont="1" applyBorder="1" applyAlignment="1">
      <alignment horizontal="center" vertical="center"/>
      <protection/>
    </xf>
    <xf numFmtId="164" fontId="162" fillId="0" borderId="7" xfId="20" applyNumberFormat="1" applyFont="1" applyBorder="1" applyAlignment="1">
      <alignment horizontal="center" vertical="center"/>
      <protection/>
    </xf>
    <xf numFmtId="0" fontId="19" fillId="0" borderId="2" xfId="20" applyFont="1" applyBorder="1" applyAlignment="1">
      <alignment vertical="center" wrapText="1"/>
      <protection/>
    </xf>
    <xf numFmtId="0" fontId="109" fillId="0" borderId="0" xfId="18" applyFont="1" applyBorder="1" applyAlignment="1">
      <alignment horizontal="center" shrinkToFit="1"/>
    </xf>
    <xf numFmtId="0" fontId="3" fillId="0" borderId="32" xfId="20" applyFont="1" applyBorder="1" applyAlignment="1">
      <alignment wrapText="1"/>
      <protection/>
    </xf>
    <xf numFmtId="0" fontId="67" fillId="0" borderId="0" xfId="20" applyNumberFormat="1" applyFont="1" applyAlignment="1">
      <alignment vertical="center" wrapText="1"/>
      <protection/>
    </xf>
    <xf numFmtId="0" fontId="3" fillId="0" borderId="0" xfId="20" applyNumberFormat="1" applyFont="1" applyAlignment="1">
      <alignment vertical="center" wrapText="1"/>
      <protection/>
    </xf>
    <xf numFmtId="0" fontId="5" fillId="8" borderId="10" xfId="20" applyFont="1" applyFill="1" applyBorder="1" applyAlignment="1" applyProtection="1">
      <alignment horizontal="right" vertical="center"/>
      <protection locked="0"/>
    </xf>
    <xf numFmtId="0" fontId="3" fillId="2" borderId="0" xfId="20" applyFont="1" applyFill="1" applyAlignment="1">
      <alignment vertical="center" wrapText="1"/>
      <protection/>
    </xf>
    <xf numFmtId="0" fontId="58" fillId="0" borderId="0" xfId="20" applyFont="1" applyAlignment="1">
      <alignment horizontal="center" vertical="center" textRotation="90"/>
      <protection/>
    </xf>
    <xf numFmtId="0" fontId="47" fillId="0" borderId="0" xfId="20" applyFont="1" applyAlignment="1">
      <alignment horizontal="center" vertical="center" textRotation="90"/>
      <protection/>
    </xf>
    <xf numFmtId="0" fontId="35" fillId="0" borderId="0" xfId="20" applyFont="1" applyAlignment="1">
      <alignment horizontal="center" vertical="center" textRotation="90" wrapText="1"/>
      <protection/>
    </xf>
    <xf numFmtId="0" fontId="7" fillId="0" borderId="0" xfId="18" applyAlignment="1" applyProtection="1">
      <alignment vertical="center"/>
      <protection locked="0"/>
    </xf>
    <xf numFmtId="0" fontId="3" fillId="5" borderId="10" xfId="20" applyFont="1" applyFill="1" applyBorder="1" applyAlignment="1">
      <alignment vertical="center"/>
      <protection/>
    </xf>
    <xf numFmtId="0" fontId="59" fillId="0" borderId="0" xfId="20" applyFont="1" applyAlignment="1">
      <alignment horizontal="center" vertical="center" textRotation="90"/>
      <protection/>
    </xf>
    <xf numFmtId="0" fontId="38" fillId="0" borderId="0" xfId="20" applyFont="1" applyAlignment="1">
      <alignment horizontal="center" vertical="center" textRotation="90"/>
      <protection/>
    </xf>
    <xf numFmtId="0" fontId="60" fillId="0" borderId="0" xfId="20" applyFont="1" applyAlignment="1">
      <alignment horizontal="center" vertical="center" textRotation="90"/>
      <protection/>
    </xf>
    <xf numFmtId="0" fontId="46" fillId="0" borderId="0" xfId="20" applyFont="1" applyAlignment="1">
      <alignment horizontal="center" vertical="center" textRotation="90"/>
      <protection/>
    </xf>
    <xf numFmtId="0" fontId="61" fillId="0" borderId="0" xfId="20" applyFont="1" applyAlignment="1">
      <alignment horizontal="center" vertical="center" textRotation="90"/>
      <protection/>
    </xf>
    <xf numFmtId="0" fontId="48" fillId="0" borderId="0" xfId="20" applyFont="1" applyAlignment="1">
      <alignment horizontal="center" vertical="center" textRotation="90"/>
      <protection/>
    </xf>
    <xf numFmtId="0" fontId="7" fillId="0" borderId="0" xfId="17" applyAlignment="1">
      <alignment vertical="center"/>
    </xf>
    <xf numFmtId="0" fontId="7" fillId="0" borderId="11" xfId="17" applyBorder="1" applyAlignment="1">
      <alignment horizontal="center" vertical="top" shrinkToFit="1"/>
    </xf>
    <xf numFmtId="0" fontId="7" fillId="0" borderId="11" xfId="17" applyFont="1" applyBorder="1" applyAlignment="1">
      <alignment horizontal="center" vertical="top" shrinkToFit="1"/>
    </xf>
    <xf numFmtId="186" fontId="32" fillId="5" borderId="4" xfId="20" applyNumberFormat="1" applyFont="1" applyFill="1" applyBorder="1" applyAlignment="1" applyProtection="1">
      <alignment horizontal="center" vertical="center"/>
      <protection locked="0"/>
    </xf>
  </cellXfs>
  <cellStyles count="11">
    <cellStyle name="Normal" xfId="0"/>
    <cellStyle name="Comma" xfId="15"/>
    <cellStyle name="Comma [0]" xfId="16"/>
    <cellStyle name="Hyperlink" xfId="17"/>
    <cellStyle name="Hiperhivatkozás_00m2-alapmagas-mobilhaz-arkalkulator" xfId="18"/>
    <cellStyle name="Followed Hyperlink" xfId="19"/>
    <cellStyle name="Normál______x-BEMUTI-0szoba-wc-tot.komf" xfId="20"/>
    <cellStyle name="Normál_x-2.80m-standardmagas-arkalkulator" xfId="21"/>
    <cellStyle name="Currency" xfId="22"/>
    <cellStyle name="Currency [0]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hyperlink" Target="http://www.gyorshazak.extramobilhazak.hu/cataloge/" TargetMode="External" /><Relationship Id="rId3" Type="http://schemas.openxmlformats.org/officeDocument/2006/relationships/hyperlink" Target="http://www.gyorshazak.extramobilhazak.hu/cataloge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extramobilhazak.hu/v-arak.00-szereld-magad.html#4" TargetMode="External" /><Relationship Id="rId3" Type="http://schemas.openxmlformats.org/officeDocument/2006/relationships/image" Target="../media/image2.jpeg" /><Relationship Id="rId4" Type="http://schemas.openxmlformats.org/officeDocument/2006/relationships/hyperlink" Target="http://www.extramobilhazak.hu/v-arak-egyteru.html" TargetMode="External" /><Relationship Id="rId5" Type="http://schemas.openxmlformats.org/officeDocument/2006/relationships/hyperlink" Target="http://www.extramobilhazak.hu/v-arak-egyteru.html" TargetMode="External" /><Relationship Id="rId6" Type="http://schemas.openxmlformats.org/officeDocument/2006/relationships/image" Target="../media/image3.jpeg" /><Relationship Id="rId7" Type="http://schemas.openxmlformats.org/officeDocument/2006/relationships/hyperlink" Target="http://www.extramobilhazak.hu/1-sorolok/NS-normal.bovito-modulok-2.7-20.9m2-sum.jpg" TargetMode="External" /><Relationship Id="rId8" Type="http://schemas.openxmlformats.org/officeDocument/2006/relationships/hyperlink" Target="http://www.extramobilhazak.hu/1-sorolok/NS-normal.bovito-modulok-2.7-20.9m2-sum.jpg" TargetMode="External" /><Relationship Id="rId9" Type="http://schemas.openxmlformats.org/officeDocument/2006/relationships/hyperlink" Target="http://www.extramobilhazak.hu/1-sorolok/SS-alsonagy.bovito-modulok-4.2-32.1m2-sum.jpg" TargetMode="External" /><Relationship Id="rId10" Type="http://schemas.openxmlformats.org/officeDocument/2006/relationships/hyperlink" Target="http://www.extramobilhazak.hu/1-sorolok/SS-alsonagy.bovito-modulok-4.2-32.1m2-sum.jpg" TargetMode="External" /><Relationship Id="rId11" Type="http://schemas.openxmlformats.org/officeDocument/2006/relationships/hyperlink" Target="http://www.extramobilhazak.hu/1-sorolok/MS-kozepnagy.bovito-modulok-4.7-35.8m2-sum.jpg" TargetMode="External" /><Relationship Id="rId12" Type="http://schemas.openxmlformats.org/officeDocument/2006/relationships/hyperlink" Target="http://www.extramobilhazak.hu/1-sorolok/MS-kozepnagy.bovito-modulok-4.7-35.8m2-sum.jpg" TargetMode="External" /><Relationship Id="rId13" Type="http://schemas.openxmlformats.org/officeDocument/2006/relationships/hyperlink" Target="http://www.extramobilhazak.hu/1-sorolok/LS-extra.bovito-modulok-5.2-39.4m2-sum.jpg" TargetMode="External" /><Relationship Id="rId14" Type="http://schemas.openxmlformats.org/officeDocument/2006/relationships/hyperlink" Target="http://www.extramobilhazak.hu/1-sorolok/LS-extra.bovito-modulok-5.2-39.4m2-sum.jpg" TargetMode="External" /><Relationship Id="rId15" Type="http://schemas.openxmlformats.org/officeDocument/2006/relationships/hyperlink" Target="http://www.extramobilhazak.hu/1-sorolok/xLS-super.bovito-modulok-5.7-43.1m2-sum.jpg" TargetMode="External" /><Relationship Id="rId16" Type="http://schemas.openxmlformats.org/officeDocument/2006/relationships/hyperlink" Target="http://www.extramobilhazak.hu/1-sorolok/xLS-super.bovito-modulok-5.7-43.1m2-sum.jpg" TargetMode="External" /><Relationship Id="rId17" Type="http://schemas.openxmlformats.org/officeDocument/2006/relationships/image" Target="../media/image6.jpeg" /><Relationship Id="rId18" Type="http://schemas.openxmlformats.org/officeDocument/2006/relationships/image" Target="../media/image7.jpeg" /><Relationship Id="rId19" Type="http://schemas.openxmlformats.org/officeDocument/2006/relationships/hyperlink" Target="http://www.extramobilhazak.hu/1-sorolok/Skf-kozepfal.modul-0.4-2.4m2-sum.jpg" TargetMode="External" /><Relationship Id="rId20" Type="http://schemas.openxmlformats.org/officeDocument/2006/relationships/hyperlink" Target="http://www.extramobilhazak.hu/1-sorolok/Skf-kozepfal.modul-0.4-2.4m2-sum.jpg" TargetMode="External" /><Relationship Id="rId21" Type="http://schemas.openxmlformats.org/officeDocument/2006/relationships/image" Target="../media/image8.jpeg" /><Relationship Id="rId22" Type="http://schemas.openxmlformats.org/officeDocument/2006/relationships/hyperlink" Target="http://www.extramobilhazak.hu/1-sorolok/Sf-zarofal.modul-0.4-2.4m2-sum.jpg" TargetMode="External" /><Relationship Id="rId23" Type="http://schemas.openxmlformats.org/officeDocument/2006/relationships/hyperlink" Target="http://www.extramobilhazak.hu/1-sorolok/Sf-zarofal.modul-0.4-2.4m2-sum.jpg" TargetMode="External" /><Relationship Id="rId24" Type="http://schemas.openxmlformats.org/officeDocument/2006/relationships/image" Target="../media/image9.jpeg" /><Relationship Id="rId25" Type="http://schemas.openxmlformats.org/officeDocument/2006/relationships/hyperlink" Target="http://www.extramobilhazak.hu/v-arak-kondiciok-kiegeszitok.html#ews" TargetMode="External" /><Relationship Id="rId26" Type="http://schemas.openxmlformats.org/officeDocument/2006/relationships/hyperlink" Target="http://www.extramobilhazak.hu/v-arak-kondiciok-kiegeszitok.html#ews" TargetMode="External" /><Relationship Id="rId27" Type="http://schemas.openxmlformats.org/officeDocument/2006/relationships/image" Target="../media/image10.jpeg" /><Relationship Id="rId28" Type="http://schemas.openxmlformats.org/officeDocument/2006/relationships/hyperlink" Target="http://wwwmobilhazak.hu/v-arak-tarolok.html" TargetMode="External" /><Relationship Id="rId29" Type="http://schemas.openxmlformats.org/officeDocument/2006/relationships/hyperlink" Target="http://wwwmobilhazak.hu/v-arak-tarolok.html" TargetMode="External" /><Relationship Id="rId30" Type="http://schemas.openxmlformats.org/officeDocument/2006/relationships/image" Target="../media/image11.jpeg" /><Relationship Id="rId31" Type="http://schemas.openxmlformats.org/officeDocument/2006/relationships/hyperlink" Target="http://www.extramobilhazak.hu/1-sorolok/Skf-Sf-mintasor-nk.jpg" TargetMode="External" /><Relationship Id="rId32" Type="http://schemas.openxmlformats.org/officeDocument/2006/relationships/hyperlink" Target="http://www.extramobilhazak.hu/1-sorolok/Skf-Sf-mintasor-nk.jpg" TargetMode="External" /><Relationship Id="rId33" Type="http://schemas.openxmlformats.org/officeDocument/2006/relationships/image" Target="../media/image12.jpeg" /><Relationship Id="rId34" Type="http://schemas.openxmlformats.org/officeDocument/2006/relationships/hyperlink" Target="http://www.extramobilhazak.hu/1-sorolok/Skf-Sf-mintasor-no.teto-nk.jpg" TargetMode="External" /><Relationship Id="rId35" Type="http://schemas.openxmlformats.org/officeDocument/2006/relationships/hyperlink" Target="http://www.extramobilhazak.hu/1-sorolok/Skf-Sf-mintasor-no.teto-nk.jpg" TargetMode="External" /><Relationship Id="rId36" Type="http://schemas.openxmlformats.org/officeDocument/2006/relationships/image" Target="../media/image14.jpeg" /><Relationship Id="rId37" Type="http://schemas.openxmlformats.org/officeDocument/2006/relationships/hyperlink" Target="http://www.extramobilhazak.hu/valuta/valutaconverter.htm" TargetMode="External" /><Relationship Id="rId38" Type="http://schemas.openxmlformats.org/officeDocument/2006/relationships/hyperlink" Target="http://www.extramobilhazak.hu/valuta/valutaconverter.htm" TargetMode="External" /><Relationship Id="rId39" Type="http://schemas.openxmlformats.org/officeDocument/2006/relationships/hyperlink" Target="http://www.extramobilhazak.hu/valuta/valutaconverter.htm" TargetMode="External" /><Relationship Id="rId40" Type="http://schemas.openxmlformats.org/officeDocument/2006/relationships/hyperlink" Target="http://www.extramobilhazak.hu/valuta/valutaconverter.htm" TargetMode="External" /><Relationship Id="rId41" Type="http://schemas.openxmlformats.org/officeDocument/2006/relationships/hyperlink" Target="http://www.extramobilhazak.hu/1-sorolok/NS-normal.bovito-modulok-2.7-20.9m2-sum.jpg" TargetMode="External" /><Relationship Id="rId42" Type="http://schemas.openxmlformats.org/officeDocument/2006/relationships/hyperlink" Target="http://www.extramobilhazak.hu/1-sorolok/NS-normal.bovito-modulok-2.7-20.9m2-sum.jpg" TargetMode="External" /><Relationship Id="rId43" Type="http://schemas.openxmlformats.org/officeDocument/2006/relationships/image" Target="../media/image15.jpeg" /><Relationship Id="rId44" Type="http://schemas.openxmlformats.org/officeDocument/2006/relationships/hyperlink" Target="http://www.extramobilhazak.hu/2-garages/gm-service3-oszlopos.jpg" TargetMode="External" /><Relationship Id="rId45" Type="http://schemas.openxmlformats.org/officeDocument/2006/relationships/hyperlink" Target="http://www.extramobilhazak.hu/2-garages/gm-service3-oszlopos.jpg" TargetMode="External" /><Relationship Id="rId46" Type="http://schemas.openxmlformats.org/officeDocument/2006/relationships/image" Target="../media/image16.jpeg" /><Relationship Id="rId47" Type="http://schemas.openxmlformats.org/officeDocument/2006/relationships/hyperlink" Target="http://www.extramobilhazak.hu/v-arak-kondiciok-kesz-garazsok.html" TargetMode="External" /><Relationship Id="rId48" Type="http://schemas.openxmlformats.org/officeDocument/2006/relationships/hyperlink" Target="http://www.extramobilhazak.hu/v-arak-kondiciok-kesz-garazsok.html" TargetMode="External" /><Relationship Id="rId49" Type="http://schemas.openxmlformats.org/officeDocument/2006/relationships/hyperlink" Target="http://www.extramobilhazak.hu/v-arak.00-egyter-komfortok.html#4" TargetMode="External" /><Relationship Id="rId50" Type="http://schemas.openxmlformats.org/officeDocument/2006/relationships/hyperlink" Target="http://www.extramobilhazak.hu/v-arak.00-szereld-magad.html#3" TargetMode="External" /><Relationship Id="rId51" Type="http://schemas.openxmlformats.org/officeDocument/2006/relationships/hyperlink" Target="http://www.extramobilhazak.hu/v-arak.00-szereld-magad.html#2" TargetMode="External" /><Relationship Id="rId52" Type="http://schemas.openxmlformats.org/officeDocument/2006/relationships/hyperlink" Target="http://www.extramobilhazak.hu/v-arak.00-szereld-magad.html#1" TargetMode="External" /><Relationship Id="rId53" Type="http://schemas.openxmlformats.org/officeDocument/2006/relationships/hyperlink" Target="http://www.extramobilhazak.hu/v-arak.00-szereld-magad.html#1" TargetMode="External" /><Relationship Id="rId54" Type="http://schemas.openxmlformats.org/officeDocument/2006/relationships/image" Target="../media/image5.jpeg" /><Relationship Id="rId55" Type="http://schemas.openxmlformats.org/officeDocument/2006/relationships/hyperlink" Target="http://www.extramobilhazak.hu/v-arak.00-szereld-magad.html#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31</xdr:col>
      <xdr:colOff>9525</xdr:colOff>
      <xdr:row>1</xdr:row>
      <xdr:rowOff>142875</xdr:rowOff>
    </xdr:to>
    <xdr:pic>
      <xdr:nvPicPr>
        <xdr:cNvPr id="1" name="Picture 4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0"/>
          <a:ext cx="7429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26</xdr:row>
      <xdr:rowOff>0</xdr:rowOff>
    </xdr:from>
    <xdr:to>
      <xdr:col>16</xdr:col>
      <xdr:colOff>0</xdr:colOff>
      <xdr:row>26</xdr:row>
      <xdr:rowOff>0</xdr:rowOff>
    </xdr:to>
    <xdr:grpSp>
      <xdr:nvGrpSpPr>
        <xdr:cNvPr id="2" name="Group 53"/>
        <xdr:cNvGrpSpPr>
          <a:grpSpLocks/>
        </xdr:cNvGrpSpPr>
      </xdr:nvGrpSpPr>
      <xdr:grpSpPr>
        <a:xfrm>
          <a:off x="495300" y="5819775"/>
          <a:ext cx="3790950" cy="0"/>
          <a:chOff x="76" y="8045"/>
          <a:chExt cx="597" cy="136"/>
        </a:xfrm>
        <a:solidFill>
          <a:srgbClr val="FFFFFF"/>
        </a:solidFill>
      </xdr:grpSpPr>
      <xdr:sp>
        <xdr:nvSpPr>
          <xdr:cNvPr id="3" name="Line 44"/>
          <xdr:cNvSpPr>
            <a:spLocks/>
          </xdr:cNvSpPr>
        </xdr:nvSpPr>
        <xdr:spPr>
          <a:xfrm>
            <a:off x="76" y="8045"/>
            <a:ext cx="597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4" name="Line 45"/>
          <xdr:cNvSpPr>
            <a:spLocks/>
          </xdr:cNvSpPr>
        </xdr:nvSpPr>
        <xdr:spPr>
          <a:xfrm>
            <a:off x="76" y="8062"/>
            <a:ext cx="597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5" name="Line 46"/>
          <xdr:cNvSpPr>
            <a:spLocks/>
          </xdr:cNvSpPr>
        </xdr:nvSpPr>
        <xdr:spPr>
          <a:xfrm>
            <a:off x="76" y="8079"/>
            <a:ext cx="597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6" name="Line 47"/>
          <xdr:cNvSpPr>
            <a:spLocks/>
          </xdr:cNvSpPr>
        </xdr:nvSpPr>
        <xdr:spPr>
          <a:xfrm>
            <a:off x="76" y="8096"/>
            <a:ext cx="597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7" name="Line 48"/>
          <xdr:cNvSpPr>
            <a:spLocks/>
          </xdr:cNvSpPr>
        </xdr:nvSpPr>
        <xdr:spPr>
          <a:xfrm>
            <a:off x="76" y="8113"/>
            <a:ext cx="597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8" name="Line 49"/>
          <xdr:cNvSpPr>
            <a:spLocks/>
          </xdr:cNvSpPr>
        </xdr:nvSpPr>
        <xdr:spPr>
          <a:xfrm>
            <a:off x="76" y="8130"/>
            <a:ext cx="597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9" name="Line 50"/>
          <xdr:cNvSpPr>
            <a:spLocks/>
          </xdr:cNvSpPr>
        </xdr:nvSpPr>
        <xdr:spPr>
          <a:xfrm>
            <a:off x="76" y="8147"/>
            <a:ext cx="597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10" name="Line 51"/>
          <xdr:cNvSpPr>
            <a:spLocks/>
          </xdr:cNvSpPr>
        </xdr:nvSpPr>
        <xdr:spPr>
          <a:xfrm>
            <a:off x="76" y="8164"/>
            <a:ext cx="597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11" name="Line 52"/>
          <xdr:cNvSpPr>
            <a:spLocks/>
          </xdr:cNvSpPr>
        </xdr:nvSpPr>
        <xdr:spPr>
          <a:xfrm>
            <a:off x="76" y="8181"/>
            <a:ext cx="597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</xdr:grpSp>
    <xdr:clientData/>
  </xdr:twoCellAnchor>
  <xdr:twoCellAnchor>
    <xdr:from>
      <xdr:col>20</xdr:col>
      <xdr:colOff>0</xdr:colOff>
      <xdr:row>26</xdr:row>
      <xdr:rowOff>0</xdr:rowOff>
    </xdr:from>
    <xdr:to>
      <xdr:col>31</xdr:col>
      <xdr:colOff>0</xdr:colOff>
      <xdr:row>26</xdr:row>
      <xdr:rowOff>0</xdr:rowOff>
    </xdr:to>
    <xdr:grpSp>
      <xdr:nvGrpSpPr>
        <xdr:cNvPr id="12" name="Group 54"/>
        <xdr:cNvGrpSpPr>
          <a:grpSpLocks/>
        </xdr:cNvGrpSpPr>
      </xdr:nvGrpSpPr>
      <xdr:grpSpPr>
        <a:xfrm>
          <a:off x="4772025" y="5819775"/>
          <a:ext cx="2943225" cy="0"/>
          <a:chOff x="76" y="8045"/>
          <a:chExt cx="597" cy="136"/>
        </a:xfrm>
        <a:solidFill>
          <a:srgbClr val="FFFFFF"/>
        </a:solidFill>
      </xdr:grpSpPr>
      <xdr:sp>
        <xdr:nvSpPr>
          <xdr:cNvPr id="13" name="Line 55"/>
          <xdr:cNvSpPr>
            <a:spLocks/>
          </xdr:cNvSpPr>
        </xdr:nvSpPr>
        <xdr:spPr>
          <a:xfrm>
            <a:off x="76" y="8045"/>
            <a:ext cx="597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14" name="Line 56"/>
          <xdr:cNvSpPr>
            <a:spLocks/>
          </xdr:cNvSpPr>
        </xdr:nvSpPr>
        <xdr:spPr>
          <a:xfrm>
            <a:off x="76" y="8062"/>
            <a:ext cx="597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15" name="Line 57"/>
          <xdr:cNvSpPr>
            <a:spLocks/>
          </xdr:cNvSpPr>
        </xdr:nvSpPr>
        <xdr:spPr>
          <a:xfrm>
            <a:off x="76" y="8079"/>
            <a:ext cx="597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16" name="Line 58"/>
          <xdr:cNvSpPr>
            <a:spLocks/>
          </xdr:cNvSpPr>
        </xdr:nvSpPr>
        <xdr:spPr>
          <a:xfrm>
            <a:off x="76" y="8096"/>
            <a:ext cx="597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17" name="Line 59"/>
          <xdr:cNvSpPr>
            <a:spLocks/>
          </xdr:cNvSpPr>
        </xdr:nvSpPr>
        <xdr:spPr>
          <a:xfrm>
            <a:off x="76" y="8113"/>
            <a:ext cx="597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18" name="Line 60"/>
          <xdr:cNvSpPr>
            <a:spLocks/>
          </xdr:cNvSpPr>
        </xdr:nvSpPr>
        <xdr:spPr>
          <a:xfrm>
            <a:off x="76" y="8130"/>
            <a:ext cx="597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19" name="Line 61"/>
          <xdr:cNvSpPr>
            <a:spLocks/>
          </xdr:cNvSpPr>
        </xdr:nvSpPr>
        <xdr:spPr>
          <a:xfrm>
            <a:off x="76" y="8147"/>
            <a:ext cx="597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20" name="Line 62"/>
          <xdr:cNvSpPr>
            <a:spLocks/>
          </xdr:cNvSpPr>
        </xdr:nvSpPr>
        <xdr:spPr>
          <a:xfrm>
            <a:off x="76" y="8164"/>
            <a:ext cx="597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21" name="Line 63"/>
          <xdr:cNvSpPr>
            <a:spLocks/>
          </xdr:cNvSpPr>
        </xdr:nvSpPr>
        <xdr:spPr>
          <a:xfrm>
            <a:off x="76" y="8181"/>
            <a:ext cx="597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33</xdr:row>
      <xdr:rowOff>85725</xdr:rowOff>
    </xdr:from>
    <xdr:to>
      <xdr:col>6</xdr:col>
      <xdr:colOff>0</xdr:colOff>
      <xdr:row>40</xdr:row>
      <xdr:rowOff>0</xdr:rowOff>
    </xdr:to>
    <xdr:grpSp>
      <xdr:nvGrpSpPr>
        <xdr:cNvPr id="1" name="Group 302"/>
        <xdr:cNvGrpSpPr>
          <a:grpSpLocks/>
        </xdr:cNvGrpSpPr>
      </xdr:nvGrpSpPr>
      <xdr:grpSpPr>
        <a:xfrm>
          <a:off x="885825" y="6029325"/>
          <a:ext cx="1533525" cy="1047750"/>
          <a:chOff x="154" y="588"/>
          <a:chExt cx="240" cy="110"/>
        </a:xfrm>
        <a:solidFill>
          <a:srgbClr val="FFFFFF"/>
        </a:solidFill>
      </xdr:grpSpPr>
      <xdr:pic>
        <xdr:nvPicPr>
          <xdr:cNvPr id="2" name="Picture 30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54" y="588"/>
            <a:ext cx="240" cy="11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4</xdr:col>
      <xdr:colOff>428625</xdr:colOff>
      <xdr:row>269</xdr:row>
      <xdr:rowOff>0</xdr:rowOff>
    </xdr:from>
    <xdr:to>
      <xdr:col>4</xdr:col>
      <xdr:colOff>1457325</xdr:colOff>
      <xdr:row>274</xdr:row>
      <xdr:rowOff>85725</xdr:rowOff>
    </xdr:to>
    <xdr:pic>
      <xdr:nvPicPr>
        <xdr:cNvPr id="4" name="Picture 2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1575" y="37709475"/>
          <a:ext cx="10287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1162050</xdr:colOff>
      <xdr:row>138</xdr:row>
      <xdr:rowOff>19050</xdr:rowOff>
    </xdr:from>
    <xdr:to>
      <xdr:col>4</xdr:col>
      <xdr:colOff>1457325</xdr:colOff>
      <xdr:row>140</xdr:row>
      <xdr:rowOff>0</xdr:rowOff>
    </xdr:to>
    <xdr:pic>
      <xdr:nvPicPr>
        <xdr:cNvPr id="5" name="Picture 7">
          <a:hlinkClick r:id="rId8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905000" y="20888325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1162050</xdr:colOff>
      <xdr:row>141</xdr:row>
      <xdr:rowOff>19050</xdr:rowOff>
    </xdr:from>
    <xdr:to>
      <xdr:col>4</xdr:col>
      <xdr:colOff>1457325</xdr:colOff>
      <xdr:row>151</xdr:row>
      <xdr:rowOff>19050</xdr:rowOff>
    </xdr:to>
    <xdr:pic>
      <xdr:nvPicPr>
        <xdr:cNvPr id="6" name="Picture 8">
          <a:hlinkClick r:id="rId10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905000" y="21459825"/>
          <a:ext cx="2952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1162050</xdr:colOff>
      <xdr:row>151</xdr:row>
      <xdr:rowOff>200025</xdr:rowOff>
    </xdr:from>
    <xdr:to>
      <xdr:col>4</xdr:col>
      <xdr:colOff>1457325</xdr:colOff>
      <xdr:row>161</xdr:row>
      <xdr:rowOff>152400</xdr:rowOff>
    </xdr:to>
    <xdr:pic>
      <xdr:nvPicPr>
        <xdr:cNvPr id="7" name="Picture 9">
          <a:hlinkClick r:id="rId12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905000" y="22126575"/>
          <a:ext cx="2952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1162050</xdr:colOff>
      <xdr:row>162</xdr:row>
      <xdr:rowOff>161925</xdr:rowOff>
    </xdr:from>
    <xdr:to>
      <xdr:col>4</xdr:col>
      <xdr:colOff>1457325</xdr:colOff>
      <xdr:row>172</xdr:row>
      <xdr:rowOff>152400</xdr:rowOff>
    </xdr:to>
    <xdr:pic>
      <xdr:nvPicPr>
        <xdr:cNvPr id="8" name="Picture 10">
          <a:hlinkClick r:id="rId14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905000" y="22821900"/>
          <a:ext cx="2952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1162050</xdr:colOff>
      <xdr:row>173</xdr:row>
      <xdr:rowOff>38100</xdr:rowOff>
    </xdr:from>
    <xdr:to>
      <xdr:col>4</xdr:col>
      <xdr:colOff>1457325</xdr:colOff>
      <xdr:row>184</xdr:row>
      <xdr:rowOff>0</xdr:rowOff>
    </xdr:to>
    <xdr:pic>
      <xdr:nvPicPr>
        <xdr:cNvPr id="9" name="Picture 11">
          <a:hlinkClick r:id="rId16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905000" y="23431500"/>
          <a:ext cx="2952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442</xdr:row>
      <xdr:rowOff>0</xdr:rowOff>
    </xdr:from>
    <xdr:to>
      <xdr:col>16</xdr:col>
      <xdr:colOff>0</xdr:colOff>
      <xdr:row>450</xdr:row>
      <xdr:rowOff>0</xdr:rowOff>
    </xdr:to>
    <xdr:grpSp>
      <xdr:nvGrpSpPr>
        <xdr:cNvPr id="10" name="Group 12"/>
        <xdr:cNvGrpSpPr>
          <a:grpSpLocks/>
        </xdr:cNvGrpSpPr>
      </xdr:nvGrpSpPr>
      <xdr:grpSpPr>
        <a:xfrm>
          <a:off x="495300" y="63426975"/>
          <a:ext cx="3790950" cy="1981200"/>
          <a:chOff x="76" y="8045"/>
          <a:chExt cx="597" cy="136"/>
        </a:xfrm>
        <a:solidFill>
          <a:srgbClr val="FFFFFF"/>
        </a:solidFill>
      </xdr:grpSpPr>
      <xdr:sp>
        <xdr:nvSpPr>
          <xdr:cNvPr id="11" name="Line 13"/>
          <xdr:cNvSpPr>
            <a:spLocks/>
          </xdr:cNvSpPr>
        </xdr:nvSpPr>
        <xdr:spPr>
          <a:xfrm>
            <a:off x="76" y="8045"/>
            <a:ext cx="597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12" name="Line 14"/>
          <xdr:cNvSpPr>
            <a:spLocks/>
          </xdr:cNvSpPr>
        </xdr:nvSpPr>
        <xdr:spPr>
          <a:xfrm>
            <a:off x="76" y="8062"/>
            <a:ext cx="597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13" name="Line 15"/>
          <xdr:cNvSpPr>
            <a:spLocks/>
          </xdr:cNvSpPr>
        </xdr:nvSpPr>
        <xdr:spPr>
          <a:xfrm>
            <a:off x="76" y="8079"/>
            <a:ext cx="597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14" name="Line 16"/>
          <xdr:cNvSpPr>
            <a:spLocks/>
          </xdr:cNvSpPr>
        </xdr:nvSpPr>
        <xdr:spPr>
          <a:xfrm>
            <a:off x="76" y="8096"/>
            <a:ext cx="597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15" name="Line 17"/>
          <xdr:cNvSpPr>
            <a:spLocks/>
          </xdr:cNvSpPr>
        </xdr:nvSpPr>
        <xdr:spPr>
          <a:xfrm>
            <a:off x="76" y="8113"/>
            <a:ext cx="597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16" name="Line 18"/>
          <xdr:cNvSpPr>
            <a:spLocks/>
          </xdr:cNvSpPr>
        </xdr:nvSpPr>
        <xdr:spPr>
          <a:xfrm>
            <a:off x="76" y="8130"/>
            <a:ext cx="597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17" name="Line 19"/>
          <xdr:cNvSpPr>
            <a:spLocks/>
          </xdr:cNvSpPr>
        </xdr:nvSpPr>
        <xdr:spPr>
          <a:xfrm>
            <a:off x="76" y="8147"/>
            <a:ext cx="597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18" name="Line 20"/>
          <xdr:cNvSpPr>
            <a:spLocks/>
          </xdr:cNvSpPr>
        </xdr:nvSpPr>
        <xdr:spPr>
          <a:xfrm>
            <a:off x="76" y="8164"/>
            <a:ext cx="597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19" name="Line 21"/>
          <xdr:cNvSpPr>
            <a:spLocks/>
          </xdr:cNvSpPr>
        </xdr:nvSpPr>
        <xdr:spPr>
          <a:xfrm>
            <a:off x="76" y="8181"/>
            <a:ext cx="597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</xdr:grpSp>
    <xdr:clientData/>
  </xdr:twoCellAnchor>
  <xdr:twoCellAnchor>
    <xdr:from>
      <xdr:col>20</xdr:col>
      <xdr:colOff>0</xdr:colOff>
      <xdr:row>442</xdr:row>
      <xdr:rowOff>0</xdr:rowOff>
    </xdr:from>
    <xdr:to>
      <xdr:col>31</xdr:col>
      <xdr:colOff>0</xdr:colOff>
      <xdr:row>450</xdr:row>
      <xdr:rowOff>0</xdr:rowOff>
    </xdr:to>
    <xdr:grpSp>
      <xdr:nvGrpSpPr>
        <xdr:cNvPr id="20" name="Group 22"/>
        <xdr:cNvGrpSpPr>
          <a:grpSpLocks/>
        </xdr:cNvGrpSpPr>
      </xdr:nvGrpSpPr>
      <xdr:grpSpPr>
        <a:xfrm>
          <a:off x="4772025" y="63426975"/>
          <a:ext cx="2943225" cy="1981200"/>
          <a:chOff x="76" y="8045"/>
          <a:chExt cx="597" cy="136"/>
        </a:xfrm>
        <a:solidFill>
          <a:srgbClr val="FFFFFF"/>
        </a:solidFill>
      </xdr:grpSpPr>
      <xdr:sp>
        <xdr:nvSpPr>
          <xdr:cNvPr id="21" name="Line 23"/>
          <xdr:cNvSpPr>
            <a:spLocks/>
          </xdr:cNvSpPr>
        </xdr:nvSpPr>
        <xdr:spPr>
          <a:xfrm>
            <a:off x="76" y="8045"/>
            <a:ext cx="597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22" name="Line 24"/>
          <xdr:cNvSpPr>
            <a:spLocks/>
          </xdr:cNvSpPr>
        </xdr:nvSpPr>
        <xdr:spPr>
          <a:xfrm>
            <a:off x="76" y="8062"/>
            <a:ext cx="597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23" name="Line 25"/>
          <xdr:cNvSpPr>
            <a:spLocks/>
          </xdr:cNvSpPr>
        </xdr:nvSpPr>
        <xdr:spPr>
          <a:xfrm>
            <a:off x="76" y="8079"/>
            <a:ext cx="597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24" name="Line 26"/>
          <xdr:cNvSpPr>
            <a:spLocks/>
          </xdr:cNvSpPr>
        </xdr:nvSpPr>
        <xdr:spPr>
          <a:xfrm>
            <a:off x="76" y="8096"/>
            <a:ext cx="597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25" name="Line 27"/>
          <xdr:cNvSpPr>
            <a:spLocks/>
          </xdr:cNvSpPr>
        </xdr:nvSpPr>
        <xdr:spPr>
          <a:xfrm>
            <a:off x="76" y="8113"/>
            <a:ext cx="597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26" name="Line 28"/>
          <xdr:cNvSpPr>
            <a:spLocks/>
          </xdr:cNvSpPr>
        </xdr:nvSpPr>
        <xdr:spPr>
          <a:xfrm>
            <a:off x="76" y="8130"/>
            <a:ext cx="597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27" name="Line 29"/>
          <xdr:cNvSpPr>
            <a:spLocks/>
          </xdr:cNvSpPr>
        </xdr:nvSpPr>
        <xdr:spPr>
          <a:xfrm>
            <a:off x="76" y="8147"/>
            <a:ext cx="597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28" name="Line 30"/>
          <xdr:cNvSpPr>
            <a:spLocks/>
          </xdr:cNvSpPr>
        </xdr:nvSpPr>
        <xdr:spPr>
          <a:xfrm>
            <a:off x="76" y="8164"/>
            <a:ext cx="597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29" name="Line 31"/>
          <xdr:cNvSpPr>
            <a:spLocks/>
          </xdr:cNvSpPr>
        </xdr:nvSpPr>
        <xdr:spPr>
          <a:xfrm>
            <a:off x="76" y="8181"/>
            <a:ext cx="597" cy="0"/>
          </a:xfrm>
          <a:prstGeom prst="line">
            <a:avLst/>
          </a:prstGeom>
          <a:noFill/>
          <a:ln w="9525" cmpd="sng">
            <a:solidFill>
              <a:srgbClr val="969696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</xdr:grpSp>
    <xdr:clientData/>
  </xdr:twoCellAnchor>
  <xdr:twoCellAnchor editAs="oneCell">
    <xdr:from>
      <xdr:col>4</xdr:col>
      <xdr:colOff>1390650</xdr:colOff>
      <xdr:row>190</xdr:row>
      <xdr:rowOff>0</xdr:rowOff>
    </xdr:from>
    <xdr:to>
      <xdr:col>4</xdr:col>
      <xdr:colOff>1457325</xdr:colOff>
      <xdr:row>191</xdr:row>
      <xdr:rowOff>9525</xdr:rowOff>
    </xdr:to>
    <xdr:pic>
      <xdr:nvPicPr>
        <xdr:cNvPr id="30" name="Picture 3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133600" y="25517475"/>
          <a:ext cx="666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1390650</xdr:colOff>
      <xdr:row>190</xdr:row>
      <xdr:rowOff>0</xdr:rowOff>
    </xdr:from>
    <xdr:to>
      <xdr:col>4</xdr:col>
      <xdr:colOff>1457325</xdr:colOff>
      <xdr:row>191</xdr:row>
      <xdr:rowOff>9525</xdr:rowOff>
    </xdr:to>
    <xdr:pic>
      <xdr:nvPicPr>
        <xdr:cNvPr id="31" name="Picture 35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133600" y="25517475"/>
          <a:ext cx="666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1390650</xdr:colOff>
      <xdr:row>217</xdr:row>
      <xdr:rowOff>0</xdr:rowOff>
    </xdr:from>
    <xdr:to>
      <xdr:col>4</xdr:col>
      <xdr:colOff>1457325</xdr:colOff>
      <xdr:row>218</xdr:row>
      <xdr:rowOff>9525</xdr:rowOff>
    </xdr:to>
    <xdr:pic>
      <xdr:nvPicPr>
        <xdr:cNvPr id="32" name="Picture 36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133600" y="30241875"/>
          <a:ext cx="666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1390650</xdr:colOff>
      <xdr:row>217</xdr:row>
      <xdr:rowOff>0</xdr:rowOff>
    </xdr:from>
    <xdr:to>
      <xdr:col>4</xdr:col>
      <xdr:colOff>1457325</xdr:colOff>
      <xdr:row>218</xdr:row>
      <xdr:rowOff>9525</xdr:rowOff>
    </xdr:to>
    <xdr:pic>
      <xdr:nvPicPr>
        <xdr:cNvPr id="33" name="Picture 3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133600" y="30241875"/>
          <a:ext cx="666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1352550</xdr:colOff>
      <xdr:row>192</xdr:row>
      <xdr:rowOff>0</xdr:rowOff>
    </xdr:from>
    <xdr:to>
      <xdr:col>4</xdr:col>
      <xdr:colOff>1457325</xdr:colOff>
      <xdr:row>200</xdr:row>
      <xdr:rowOff>0</xdr:rowOff>
    </xdr:to>
    <xdr:pic>
      <xdr:nvPicPr>
        <xdr:cNvPr id="34" name="Picture 38">
          <a:hlinkClick r:id="rId20"/>
        </xdr:cNvPr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095500" y="25841325"/>
          <a:ext cx="10477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1333500</xdr:colOff>
      <xdr:row>203</xdr:row>
      <xdr:rowOff>0</xdr:rowOff>
    </xdr:from>
    <xdr:to>
      <xdr:col>4</xdr:col>
      <xdr:colOff>1457325</xdr:colOff>
      <xdr:row>211</xdr:row>
      <xdr:rowOff>0</xdr:rowOff>
    </xdr:to>
    <xdr:pic>
      <xdr:nvPicPr>
        <xdr:cNvPr id="35" name="Picture 39">
          <a:hlinkClick r:id="rId23"/>
        </xdr:cNvPr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2076450" y="27641550"/>
          <a:ext cx="1238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1200150</xdr:colOff>
      <xdr:row>218</xdr:row>
      <xdr:rowOff>0</xdr:rowOff>
    </xdr:from>
    <xdr:to>
      <xdr:col>4</xdr:col>
      <xdr:colOff>1457325</xdr:colOff>
      <xdr:row>219</xdr:row>
      <xdr:rowOff>0</xdr:rowOff>
    </xdr:to>
    <xdr:pic>
      <xdr:nvPicPr>
        <xdr:cNvPr id="36" name="Picture 40">
          <a:hlinkClick r:id="rId26"/>
        </xdr:cNvPr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943100" y="30403800"/>
          <a:ext cx="257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981075</xdr:colOff>
      <xdr:row>256</xdr:row>
      <xdr:rowOff>76200</xdr:rowOff>
    </xdr:from>
    <xdr:to>
      <xdr:col>4</xdr:col>
      <xdr:colOff>1457325</xdr:colOff>
      <xdr:row>261</xdr:row>
      <xdr:rowOff>0</xdr:rowOff>
    </xdr:to>
    <xdr:pic>
      <xdr:nvPicPr>
        <xdr:cNvPr id="37" name="Picture 41">
          <a:hlinkClick r:id="rId29"/>
        </xdr:cNvPr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724025" y="35232975"/>
          <a:ext cx="4762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189</xdr:row>
      <xdr:rowOff>0</xdr:rowOff>
    </xdr:from>
    <xdr:to>
      <xdr:col>4</xdr:col>
      <xdr:colOff>0</xdr:colOff>
      <xdr:row>189</xdr:row>
      <xdr:rowOff>285750</xdr:rowOff>
    </xdr:to>
    <xdr:pic>
      <xdr:nvPicPr>
        <xdr:cNvPr id="38" name="Picture 97">
          <a:hlinkClick r:id="rId32"/>
        </xdr:cNvPr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47675" y="24993600"/>
          <a:ext cx="2952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189</xdr:row>
      <xdr:rowOff>400050</xdr:rowOff>
    </xdr:from>
    <xdr:to>
      <xdr:col>4</xdr:col>
      <xdr:colOff>0</xdr:colOff>
      <xdr:row>191</xdr:row>
      <xdr:rowOff>0</xdr:rowOff>
    </xdr:to>
    <xdr:pic>
      <xdr:nvPicPr>
        <xdr:cNvPr id="39" name="Picture 98">
          <a:hlinkClick r:id="rId35"/>
        </xdr:cNvPr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447675" y="25393650"/>
          <a:ext cx="2952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475</xdr:row>
      <xdr:rowOff>0</xdr:rowOff>
    </xdr:from>
    <xdr:to>
      <xdr:col>31</xdr:col>
      <xdr:colOff>38100</xdr:colOff>
      <xdr:row>475</xdr:row>
      <xdr:rowOff>0</xdr:rowOff>
    </xdr:to>
    <xdr:sp>
      <xdr:nvSpPr>
        <xdr:cNvPr id="40" name="Line 100"/>
        <xdr:cNvSpPr>
          <a:spLocks/>
        </xdr:cNvSpPr>
      </xdr:nvSpPr>
      <xdr:spPr>
        <a:xfrm>
          <a:off x="295275" y="70989825"/>
          <a:ext cx="7458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4</xdr:col>
      <xdr:colOff>0</xdr:colOff>
      <xdr:row>222</xdr:row>
      <xdr:rowOff>0</xdr:rowOff>
    </xdr:from>
    <xdr:to>
      <xdr:col>12</xdr:col>
      <xdr:colOff>0</xdr:colOff>
      <xdr:row>225</xdr:row>
      <xdr:rowOff>0</xdr:rowOff>
    </xdr:to>
    <xdr:sp>
      <xdr:nvSpPr>
        <xdr:cNvPr id="41" name="Line 101"/>
        <xdr:cNvSpPr>
          <a:spLocks/>
        </xdr:cNvSpPr>
      </xdr:nvSpPr>
      <xdr:spPr>
        <a:xfrm flipV="1">
          <a:off x="742950" y="30889575"/>
          <a:ext cx="2971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4</xdr:col>
      <xdr:colOff>0</xdr:colOff>
      <xdr:row>226</xdr:row>
      <xdr:rowOff>0</xdr:rowOff>
    </xdr:from>
    <xdr:to>
      <xdr:col>12</xdr:col>
      <xdr:colOff>0</xdr:colOff>
      <xdr:row>229</xdr:row>
      <xdr:rowOff>0</xdr:rowOff>
    </xdr:to>
    <xdr:sp>
      <xdr:nvSpPr>
        <xdr:cNvPr id="42" name="Line 102"/>
        <xdr:cNvSpPr>
          <a:spLocks/>
        </xdr:cNvSpPr>
      </xdr:nvSpPr>
      <xdr:spPr>
        <a:xfrm flipV="1">
          <a:off x="742950" y="30889575"/>
          <a:ext cx="2971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0</xdr:colOff>
      <xdr:row>476</xdr:row>
      <xdr:rowOff>0</xdr:rowOff>
    </xdr:from>
    <xdr:to>
      <xdr:col>31</xdr:col>
      <xdr:colOff>38100</xdr:colOff>
      <xdr:row>476</xdr:row>
      <xdr:rowOff>0</xdr:rowOff>
    </xdr:to>
    <xdr:sp>
      <xdr:nvSpPr>
        <xdr:cNvPr id="43" name="Line 103"/>
        <xdr:cNvSpPr>
          <a:spLocks/>
        </xdr:cNvSpPr>
      </xdr:nvSpPr>
      <xdr:spPr>
        <a:xfrm>
          <a:off x="295275" y="71085075"/>
          <a:ext cx="7458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0</xdr:colOff>
      <xdr:row>462</xdr:row>
      <xdr:rowOff>0</xdr:rowOff>
    </xdr:from>
    <xdr:to>
      <xdr:col>31</xdr:col>
      <xdr:colOff>38100</xdr:colOff>
      <xdr:row>462</xdr:row>
      <xdr:rowOff>0</xdr:rowOff>
    </xdr:to>
    <xdr:sp>
      <xdr:nvSpPr>
        <xdr:cNvPr id="44" name="Line 104"/>
        <xdr:cNvSpPr>
          <a:spLocks/>
        </xdr:cNvSpPr>
      </xdr:nvSpPr>
      <xdr:spPr>
        <a:xfrm>
          <a:off x="295275" y="68580000"/>
          <a:ext cx="7458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31</xdr:col>
      <xdr:colOff>0</xdr:colOff>
      <xdr:row>10</xdr:row>
      <xdr:rowOff>0</xdr:rowOff>
    </xdr:to>
    <xdr:sp>
      <xdr:nvSpPr>
        <xdr:cNvPr id="45" name="Rectangle 275"/>
        <xdr:cNvSpPr>
          <a:spLocks/>
        </xdr:cNvSpPr>
      </xdr:nvSpPr>
      <xdr:spPr>
        <a:xfrm>
          <a:off x="295275" y="161925"/>
          <a:ext cx="7419975" cy="2752725"/>
        </a:xfrm>
        <a:prstGeom prst="roundRect">
          <a:avLst/>
        </a:prstGeom>
        <a:pattFill prst="pct5">
          <a:fgClr>
            <a:srgbClr val="F3F3F3"/>
          </a:fgClr>
          <a:bgClr>
            <a:srgbClr val="F3F3F3"/>
          </a:bgClr>
        </a:pattFill>
        <a:ln w="3175" cmpd="sng">
          <a:solidFill>
            <a:srgbClr val="00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8080"/>
              </a:solidFill>
            </a:rPr>
            <a:t>|: szereld Magad 2,60 m belmagas &gt; </a:t>
          </a:r>
          <a:r>
            <a:rPr lang="en-US" cap="none" sz="1200" b="1" i="0" u="none" baseline="0">
              <a:solidFill>
                <a:srgbClr val="333333"/>
              </a:solidFill>
            </a:rPr>
            <a:t> KALKULÁTOR</a:t>
          </a:r>
          <a:r>
            <a:rPr lang="en-US" cap="none" sz="900" b="1" i="0" u="none" baseline="0">
              <a:solidFill>
                <a:srgbClr val="008080"/>
              </a:solidFill>
            </a:rPr>
            <a:t> :|   
Közlemény: a társaság megszüntette a korábbi un. alapmagas kivitelét </a:t>
          </a:r>
          <a:r>
            <a:rPr lang="en-US" cap="none" sz="900" b="0" i="1" u="none" baseline="0">
              <a:solidFill>
                <a:srgbClr val="008080"/>
              </a:solidFill>
            </a:rPr>
            <a:t>(2,34m belmagasság)</a:t>
          </a:r>
          <a:r>
            <a:rPr lang="en-US" cap="none" sz="900" b="1" i="0" u="none" baseline="0">
              <a:solidFill>
                <a:srgbClr val="008080"/>
              </a:solidFill>
            </a:rPr>
            <a:t>. 2012. májustól a normál belmagasság egységesen 2,60m. 
Rendelhető kiegészítő +30cm 2-szer, max. 3,20m belmagasságig (pl . épületgépészeti csatornák álmennyezet alai helye vagy egyszerűen ez az igény.
    -- Középen a függőleges kék-zöld oszlop a  darab szám </a:t>
          </a:r>
          <a:r>
            <a:rPr lang="en-US" cap="none" sz="900" b="0" i="0" u="none" baseline="0">
              <a:solidFill>
                <a:srgbClr val="008080"/>
              </a:solidFill>
            </a:rPr>
            <a:t>
Míg  db, az ÁR addig rejtett, hogy ne legyen zavaró a sok adat.
... a     "Darab mennyi?"     oszlop írható.</a:t>
          </a:r>
          <a:r>
            <a:rPr lang="en-US" cap="none" sz="900" b="0" i="0" u="none" baseline="0"/>
            <a:t>       Minden más védett.         Nem rontható  semmi.
           </a:t>
          </a:r>
          <a:r>
            <a:rPr lang="en-US" cap="none" sz="900" b="1" i="0" u="none" baseline="0"/>
            <a:t>Apró tanács: </a:t>
          </a:r>
          <a:r>
            <a:rPr lang="en-US" cap="none" sz="900" b="0" i="0" u="none" baseline="0"/>
            <a:t>              pár perc kattogás ötlet szerűen. Rövid idő alatt kialakul, hogy mi hol van és milyen egyszerűen is működik.
                                                 Mentse el többször   "MÁS néven"  ,  így  készíthető több ár-,  négyzetméter-, árelemzés. Össze hasonlíthatja, melyik a legjobb...
           ... a  " </a:t>
          </a:r>
          <a:r>
            <a:rPr lang="en-US" cap="none" sz="900" b="1" i="0" u="sng" baseline="0">
              <a:solidFill>
                <a:srgbClr val="0000FF"/>
              </a:solidFill>
            </a:rPr>
            <a:t>Le ˘˘ össz</a:t>
          </a:r>
          <a:r>
            <a:rPr lang="en-US" cap="none" sz="900" b="0" i="0" u="none" baseline="0"/>
            <a:t> " nyilak leugratnak a végösszeghez, érdemes használni őket. A végösszeg alól meg vissza ugrathat az egyes dominó csoportokhoz, kiegészítőkhöz, 
... az alatt ott a szállítás és egyéb költségei.
           Eredményes kiválasztást. Örömmel várjuk a jelentkezését... </a:t>
          </a:r>
          <a:r>
            <a:rPr lang="en-US" cap="none" sz="700" b="0" i="1" u="none" baseline="0"/>
            <a:t>(üdvözlettel &gt; marketing csop...)</a:t>
          </a:r>
          <a:r>
            <a:rPr lang="en-US" cap="none" sz="900" b="0" i="0" u="none" baseline="0"/>
            <a:t>
</a:t>
          </a:r>
        </a:p>
      </xdr:txBody>
    </xdr:sp>
    <xdr:clientData/>
  </xdr:twoCellAnchor>
  <xdr:twoCellAnchor>
    <xdr:from>
      <xdr:col>26</xdr:col>
      <xdr:colOff>219075</xdr:colOff>
      <xdr:row>7</xdr:row>
      <xdr:rowOff>0</xdr:rowOff>
    </xdr:from>
    <xdr:to>
      <xdr:col>30</xdr:col>
      <xdr:colOff>219075</xdr:colOff>
      <xdr:row>11</xdr:row>
      <xdr:rowOff>0</xdr:rowOff>
    </xdr:to>
    <xdr:sp>
      <xdr:nvSpPr>
        <xdr:cNvPr id="46" name="AutoShape 287"/>
        <xdr:cNvSpPr>
          <a:spLocks/>
        </xdr:cNvSpPr>
      </xdr:nvSpPr>
      <xdr:spPr>
        <a:xfrm rot="5400000" flipV="1">
          <a:off x="7000875" y="1133475"/>
          <a:ext cx="533400" cy="1943100"/>
        </a:xfrm>
        <a:prstGeom prst="homePlate">
          <a:avLst>
            <a:gd name="adj" fmla="val 34180"/>
          </a:avLst>
        </a:prstGeom>
        <a:solidFill>
          <a:srgbClr val="F3F3F3">
            <a:alpha val="90000"/>
          </a:srgbClr>
        </a:solidFill>
        <a:ln w="3175" cmpd="sng">
          <a:solidFill>
            <a:srgbClr val="0000FF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FF0000"/>
              </a:solidFill>
            </a:rPr>
            <a:t>EURO beállítás 
</a:t>
          </a:r>
          <a:r>
            <a:rPr lang="en-US" cap="none" sz="800" b="0" i="1" u="none" baseline="0">
              <a:solidFill>
                <a:srgbClr val="0000FF"/>
              </a:solidFill>
            </a:rPr>
            <a:t>-ami van,   </a:t>
          </a:r>
          <a:r>
            <a:rPr lang="en-US" cap="none" sz="1200" b="1" i="1" u="none" baseline="0">
              <a:solidFill>
                <a:srgbClr val="0000FF"/>
              </a:solidFill>
            </a:rPr>
            <a:t>elavult</a:t>
          </a:r>
          <a:r>
            <a:rPr lang="en-US" cap="none" sz="800" b="1" i="0" u="none" baseline="0">
              <a:solidFill>
                <a:srgbClr val="0000FF"/>
              </a:solidFill>
            </a:rPr>
            <a:t>(!) &gt;&gt;&gt;
</a:t>
          </a:r>
          <a:r>
            <a:rPr lang="en-US" cap="none" sz="800" b="0" i="0" u="none" baseline="0">
              <a:solidFill>
                <a:srgbClr val="0000FF"/>
              </a:solidFill>
            </a:rPr>
            <a:t> </a:t>
          </a:r>
          <a:r>
            <a:rPr lang="en-US" cap="none" sz="800" b="0" i="0" u="none" baseline="0"/>
            <a:t>                       </a:t>
          </a:r>
          <a:r>
            <a:rPr lang="en-US" cap="none" sz="800" b="0" i="1" u="none" baseline="0"/>
            <a:t>
</a:t>
          </a:r>
          <a:r>
            <a:rPr lang="en-US" cap="none" sz="800" b="0" i="1" u="none" baseline="0">
              <a:solidFill>
                <a:srgbClr val="0000FF"/>
              </a:solidFill>
            </a:rPr>
            <a:t>FRISSÍTSE</a:t>
          </a:r>
          <a:r>
            <a:rPr lang="en-US" cap="none" sz="800" b="0" i="1" u="none" baseline="0"/>
            <a:t> 
Ft  /EURÓ
ÁTÍRHATÓ!</a:t>
          </a:r>
        </a:p>
      </xdr:txBody>
    </xdr:sp>
    <xdr:clientData/>
  </xdr:twoCellAnchor>
  <xdr:twoCellAnchor editAs="oneCell">
    <xdr:from>
      <xdr:col>8</xdr:col>
      <xdr:colOff>0</xdr:colOff>
      <xdr:row>12</xdr:row>
      <xdr:rowOff>123825</xdr:rowOff>
    </xdr:from>
    <xdr:to>
      <xdr:col>9</xdr:col>
      <xdr:colOff>190500</xdr:colOff>
      <xdr:row>13</xdr:row>
      <xdr:rowOff>190500</xdr:rowOff>
    </xdr:to>
    <xdr:pic>
      <xdr:nvPicPr>
        <xdr:cNvPr id="47" name="Picture 288">
          <a:hlinkClick r:id="rId38"/>
        </xdr:cNvPr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743200" y="3838575"/>
          <a:ext cx="4286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238125</xdr:colOff>
      <xdr:row>12</xdr:row>
      <xdr:rowOff>28575</xdr:rowOff>
    </xdr:from>
    <xdr:to>
      <xdr:col>30</xdr:col>
      <xdr:colOff>133350</xdr:colOff>
      <xdr:row>13</xdr:row>
      <xdr:rowOff>104775</xdr:rowOff>
    </xdr:to>
    <xdr:pic>
      <xdr:nvPicPr>
        <xdr:cNvPr id="48" name="Picture 289">
          <a:hlinkClick r:id="rId40"/>
        </xdr:cNvPr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7019925" y="3743325"/>
          <a:ext cx="4286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1162050</xdr:colOff>
      <xdr:row>132</xdr:row>
      <xdr:rowOff>152400</xdr:rowOff>
    </xdr:from>
    <xdr:to>
      <xdr:col>4</xdr:col>
      <xdr:colOff>1457325</xdr:colOff>
      <xdr:row>134</xdr:row>
      <xdr:rowOff>0</xdr:rowOff>
    </xdr:to>
    <xdr:pic>
      <xdr:nvPicPr>
        <xdr:cNvPr id="49" name="Picture 290">
          <a:hlinkClick r:id="rId42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905000" y="20050125"/>
          <a:ext cx="2952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240</xdr:row>
      <xdr:rowOff>0</xdr:rowOff>
    </xdr:from>
    <xdr:to>
      <xdr:col>4</xdr:col>
      <xdr:colOff>276225</xdr:colOff>
      <xdr:row>240</xdr:row>
      <xdr:rowOff>400050</xdr:rowOff>
    </xdr:to>
    <xdr:pic>
      <xdr:nvPicPr>
        <xdr:cNvPr id="50" name="Picture 296">
          <a:hlinkClick r:id="rId45"/>
        </xdr:cNvPr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495300" y="31756350"/>
          <a:ext cx="5238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552450</xdr:colOff>
      <xdr:row>242</xdr:row>
      <xdr:rowOff>114300</xdr:rowOff>
    </xdr:from>
    <xdr:to>
      <xdr:col>4</xdr:col>
      <xdr:colOff>1457325</xdr:colOff>
      <xdr:row>247</xdr:row>
      <xdr:rowOff>0</xdr:rowOff>
    </xdr:to>
    <xdr:pic>
      <xdr:nvPicPr>
        <xdr:cNvPr id="51" name="Picture 297">
          <a:hlinkClick r:id="rId48"/>
        </xdr:cNvPr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1295400" y="32556450"/>
          <a:ext cx="9048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933450</xdr:colOff>
      <xdr:row>24</xdr:row>
      <xdr:rowOff>0</xdr:rowOff>
    </xdr:from>
    <xdr:to>
      <xdr:col>6</xdr:col>
      <xdr:colOff>0</xdr:colOff>
      <xdr:row>27</xdr:row>
      <xdr:rowOff>0</xdr:rowOff>
    </xdr:to>
    <xdr:sp>
      <xdr:nvSpPr>
        <xdr:cNvPr id="52" name="AutoShape 298">
          <a:hlinkClick r:id="rId49"/>
        </xdr:cNvPr>
        <xdr:cNvSpPr>
          <a:spLocks/>
        </xdr:cNvSpPr>
      </xdr:nvSpPr>
      <xdr:spPr>
        <a:xfrm>
          <a:off x="1676400" y="5534025"/>
          <a:ext cx="742950" cy="0"/>
        </a:xfrm>
        <a:prstGeom prst="rect"/>
        <a:noFill/>
      </xdr:spPr>
      <xdr:txBody>
        <a:bodyPr fromWordArt="1" wrap="none">
          <a:prstTxWarp prst="textSlantUp"/>
          <a:scene3d>
            <a:camera prst="legacyObliqueRight"/>
            <a:lightRig rig="legacyNormal3" dir="t"/>
          </a:scene3d>
          <a:sp3d extrusionH="49200" prstMaterial="legacyMatte">
            <a:extrusionClr>
              <a:srgbClr val="FFFF99"/>
            </a:extrusionClr>
          </a:sp3d>
        </a:bodyPr>
        <a:p>
          <a:pPr algn="ctr"/>
          <a:r>
            <a:rPr sz="1200" kern="10" spc="0">
              <a:ln w="9525" cmpd="sng">
                <a:solidFill>
                  <a:srgbClr val="FF9900"/>
                </a:solidFill>
                <a:headEnd type="none"/>
                <a:tailEnd type="none"/>
              </a:ln>
              <a:pattFill prst="pct5">
                <a:fgClr>
                  <a:srgbClr val="993300"/>
                </a:fgClr>
                <a:bgClr>
                  <a:srgbClr val="993300"/>
                </a:bgClr>
              </a:pattFill>
              <a:latin typeface="Comic Sans MS"/>
              <a:cs typeface="Comic Sans MS"/>
            </a:rPr>
            <a:t>S . egytér komfort</a:t>
          </a:r>
        </a:p>
      </xdr:txBody>
    </xdr:sp>
    <xdr:clientData/>
  </xdr:twoCellAnchor>
  <xdr:twoCellAnchor>
    <xdr:from>
      <xdr:col>4</xdr:col>
      <xdr:colOff>228600</xdr:colOff>
      <xdr:row>56</xdr:row>
      <xdr:rowOff>85725</xdr:rowOff>
    </xdr:from>
    <xdr:to>
      <xdr:col>7</xdr:col>
      <xdr:colOff>0</xdr:colOff>
      <xdr:row>63</xdr:row>
      <xdr:rowOff>0</xdr:rowOff>
    </xdr:to>
    <xdr:grpSp>
      <xdr:nvGrpSpPr>
        <xdr:cNvPr id="53" name="Group 305"/>
        <xdr:cNvGrpSpPr>
          <a:grpSpLocks/>
        </xdr:cNvGrpSpPr>
      </xdr:nvGrpSpPr>
      <xdr:grpSpPr>
        <a:xfrm>
          <a:off x="971550" y="8715375"/>
          <a:ext cx="1533525" cy="1047750"/>
          <a:chOff x="154" y="588"/>
          <a:chExt cx="240" cy="110"/>
        </a:xfrm>
        <a:solidFill>
          <a:srgbClr val="FFFFFF"/>
        </a:solidFill>
      </xdr:grpSpPr>
      <xdr:pic>
        <xdr:nvPicPr>
          <xdr:cNvPr id="54" name="Picture 30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54" y="588"/>
            <a:ext cx="240" cy="11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4</xdr:col>
      <xdr:colOff>228600</xdr:colOff>
      <xdr:row>79</xdr:row>
      <xdr:rowOff>85725</xdr:rowOff>
    </xdr:from>
    <xdr:to>
      <xdr:col>7</xdr:col>
      <xdr:colOff>0</xdr:colOff>
      <xdr:row>86</xdr:row>
      <xdr:rowOff>0</xdr:rowOff>
    </xdr:to>
    <xdr:grpSp>
      <xdr:nvGrpSpPr>
        <xdr:cNvPr id="56" name="Group 308"/>
        <xdr:cNvGrpSpPr>
          <a:grpSpLocks/>
        </xdr:cNvGrpSpPr>
      </xdr:nvGrpSpPr>
      <xdr:grpSpPr>
        <a:xfrm>
          <a:off x="971550" y="11401425"/>
          <a:ext cx="1533525" cy="1047750"/>
          <a:chOff x="154" y="588"/>
          <a:chExt cx="240" cy="110"/>
        </a:xfrm>
        <a:solidFill>
          <a:srgbClr val="FFFFFF"/>
        </a:solidFill>
      </xdr:grpSpPr>
      <xdr:pic>
        <xdr:nvPicPr>
          <xdr:cNvPr id="57" name="Picture 30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54" y="588"/>
            <a:ext cx="240" cy="11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4</xdr:col>
      <xdr:colOff>228600</xdr:colOff>
      <xdr:row>102</xdr:row>
      <xdr:rowOff>85725</xdr:rowOff>
    </xdr:from>
    <xdr:to>
      <xdr:col>7</xdr:col>
      <xdr:colOff>0</xdr:colOff>
      <xdr:row>109</xdr:row>
      <xdr:rowOff>0</xdr:rowOff>
    </xdr:to>
    <xdr:grpSp>
      <xdr:nvGrpSpPr>
        <xdr:cNvPr id="59" name="Group 311"/>
        <xdr:cNvGrpSpPr>
          <a:grpSpLocks/>
        </xdr:cNvGrpSpPr>
      </xdr:nvGrpSpPr>
      <xdr:grpSpPr>
        <a:xfrm>
          <a:off x="971550" y="14087475"/>
          <a:ext cx="1533525" cy="1047750"/>
          <a:chOff x="154" y="1356"/>
          <a:chExt cx="240" cy="110"/>
        </a:xfrm>
        <a:solidFill>
          <a:srgbClr val="FFFFFF"/>
        </a:solidFill>
      </xdr:grpSpPr>
      <xdr:pic>
        <xdr:nvPicPr>
          <xdr:cNvPr id="60" name="Picture 31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54" y="1356"/>
            <a:ext cx="240" cy="11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4</xdr:col>
      <xdr:colOff>228600</xdr:colOff>
      <xdr:row>117</xdr:row>
      <xdr:rowOff>0</xdr:rowOff>
    </xdr:from>
    <xdr:to>
      <xdr:col>7</xdr:col>
      <xdr:colOff>0</xdr:colOff>
      <xdr:row>123</xdr:row>
      <xdr:rowOff>76200</xdr:rowOff>
    </xdr:to>
    <xdr:grpSp>
      <xdr:nvGrpSpPr>
        <xdr:cNvPr id="62" name="Group 379"/>
        <xdr:cNvGrpSpPr>
          <a:grpSpLocks/>
        </xdr:cNvGrpSpPr>
      </xdr:nvGrpSpPr>
      <xdr:grpSpPr>
        <a:xfrm>
          <a:off x="971550" y="16849725"/>
          <a:ext cx="1533525" cy="1047750"/>
          <a:chOff x="154" y="1356"/>
          <a:chExt cx="240" cy="110"/>
        </a:xfrm>
        <a:solidFill>
          <a:srgbClr val="FFFFFF"/>
        </a:solidFill>
      </xdr:grpSpPr>
      <xdr:pic>
        <xdr:nvPicPr>
          <xdr:cNvPr id="63" name="Picture 380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54" y="1356"/>
            <a:ext cx="240" cy="11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11</xdr:col>
      <xdr:colOff>0</xdr:colOff>
      <xdr:row>33</xdr:row>
      <xdr:rowOff>0</xdr:rowOff>
    </xdr:from>
    <xdr:to>
      <xdr:col>15</xdr:col>
      <xdr:colOff>57150</xdr:colOff>
      <xdr:row>39</xdr:row>
      <xdr:rowOff>57150</xdr:rowOff>
    </xdr:to>
    <xdr:grpSp>
      <xdr:nvGrpSpPr>
        <xdr:cNvPr id="65" name="Group 756"/>
        <xdr:cNvGrpSpPr>
          <a:grpSpLocks/>
        </xdr:cNvGrpSpPr>
      </xdr:nvGrpSpPr>
      <xdr:grpSpPr>
        <a:xfrm>
          <a:off x="3362325" y="5943600"/>
          <a:ext cx="876300" cy="1028700"/>
          <a:chOff x="528" y="603"/>
          <a:chExt cx="131" cy="100"/>
        </a:xfrm>
        <a:solidFill>
          <a:srgbClr val="FFFFFF"/>
        </a:solidFill>
      </xdr:grpSpPr>
      <xdr:pic>
        <xdr:nvPicPr>
          <xdr:cNvPr id="66" name="Picture 752"/>
          <xdr:cNvPicPr preferRelativeResize="1">
            <a:picLocks noChangeAspect="1"/>
          </xdr:cNvPicPr>
        </xdr:nvPicPr>
        <xdr:blipFill>
          <a:blip r:embed="rId54"/>
          <a:stretch>
            <a:fillRect/>
          </a:stretch>
        </xdr:blipFill>
        <xdr:spPr>
          <a:xfrm>
            <a:off x="528" y="603"/>
            <a:ext cx="131" cy="10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0</xdr:colOff>
      <xdr:row>477</xdr:row>
      <xdr:rowOff>47625</xdr:rowOff>
    </xdr:from>
    <xdr:to>
      <xdr:col>31</xdr:col>
      <xdr:colOff>57150</xdr:colOff>
      <xdr:row>65535</xdr:row>
      <xdr:rowOff>0</xdr:rowOff>
    </xdr:to>
    <xdr:sp>
      <xdr:nvSpPr>
        <xdr:cNvPr id="68" name="Rectangle 770"/>
        <xdr:cNvSpPr>
          <a:spLocks/>
        </xdr:cNvSpPr>
      </xdr:nvSpPr>
      <xdr:spPr>
        <a:xfrm>
          <a:off x="0" y="71294625"/>
          <a:ext cx="7772400" cy="1112520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XLS\INERCI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_Dxls\HANG&#193;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_Dxls\mobil%20h&#225;zak\_&#218;j%20sarkok%202005%20j&#250;nius\_____FR_&#225;gy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sby%20f%20j\Asztal\____2012-passziv-VAZ-16cm-BEMU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ERCIA"/>
      <sheetName val="főtartó kezdet"/>
      <sheetName val="alap ko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 ESZK"/>
      <sheetName val="Metszet"/>
      <sheetName val="HÉJ"/>
      <sheetName val="HÉJ (2)"/>
      <sheetName val="PILLÉR (2)"/>
      <sheetName val="OSZLOP"/>
      <sheetName val="FESZTÁV 10 12 14 15 25 "/>
      <sheetName val="SZELVÉNY"/>
      <sheetName val="RÁCS tartó"/>
      <sheetName val="7,5, 0,83 (4)"/>
      <sheetName val="7,5, 0,83 (5)"/>
      <sheetName val="3,75  0,42"/>
      <sheetName val="11,5  1,47"/>
      <sheetName val="15,2  2,14"/>
      <sheetName val="7,5, 0,83 (3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ESZK"/>
      <sheetName val="FR_ÁGY (7)"/>
      <sheetName val="FR_ÁGY (90)"/>
      <sheetName val="FR_ÁGY (91)"/>
      <sheetName val="FR_ÁGY (4)"/>
      <sheetName val="FR_ÁGY (5)"/>
      <sheetName val="FR_ÁGY (6)"/>
      <sheetName val="7,5, 0,83"/>
      <sheetName val="7,5, 0,83 (2)"/>
      <sheetName val="LOM"/>
      <sheetName val="FR_ÁGY (2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V-16-22maj(TJI)"/>
      <sheetName val="szfal21"/>
      <sheetName val="szfal30"/>
      <sheetName val="inercia"/>
      <sheetName val="V-16-2012maj(TJI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yorshazak.extra.hu/v-arak.oko-falak.fodemek.html" TargetMode="External" /><Relationship Id="rId2" Type="http://schemas.openxmlformats.org/officeDocument/2006/relationships/hyperlink" Target="mailto:bautechnik@eurocomnet.hu" TargetMode="External" /><Relationship Id="rId3" Type="http://schemas.openxmlformats.org/officeDocument/2006/relationships/hyperlink" Target="callto:fransis69" TargetMode="External" /><Relationship Id="rId4" Type="http://schemas.openxmlformats.org/officeDocument/2006/relationships/hyperlink" Target="http://www.gyorshazak.extramobilhazak.hu/v-arak.oko-falak.fodemek.html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gyorshazak.extramobilhazak.hu/v-arak.oko-falak.fodemek.html" TargetMode="External" /><Relationship Id="rId2" Type="http://schemas.openxmlformats.org/officeDocument/2006/relationships/hyperlink" Target="http://extramobilhazak.hu/valuta/valutaconverter.htm" TargetMode="External" /><Relationship Id="rId3" Type="http://schemas.openxmlformats.org/officeDocument/2006/relationships/hyperlink" Target="http://mobilhazak.extra.hu/2-nyilasok/panel-nyilasok.sum.jpg" TargetMode="External" /><Relationship Id="rId4" Type="http://schemas.openxmlformats.org/officeDocument/2006/relationships/hyperlink" Target="http://www.extramobilhazak.hu/5-berendezes/teszt-p.sztenderd.nk.jpg" TargetMode="External" /><Relationship Id="rId5" Type="http://schemas.openxmlformats.org/officeDocument/2006/relationships/hyperlink" Target="http://www.extramobilhazak.hu/5-berendezes/teszt-p.mini.nk.jpg" TargetMode="External" /><Relationship Id="rId6" Type="http://schemas.openxmlformats.org/officeDocument/2006/relationships/hyperlink" Target="http://www.extramobilhazak.hu/5-berendezes/teszt-p.midi.nk.jpg" TargetMode="External" /><Relationship Id="rId7" Type="http://schemas.openxmlformats.org/officeDocument/2006/relationships/hyperlink" Target="http://www.extramobilhazak.hu/5-berendezes/teszt-p.maxi.nk.jpg" TargetMode="External" /><Relationship Id="rId8" Type="http://schemas.openxmlformats.org/officeDocument/2006/relationships/hyperlink" Target="http://www.extramobilhazak.hu/5-berendezes/teszt-p.super.nk.jpg" TargetMode="External" /><Relationship Id="rId9" Type="http://schemas.openxmlformats.org/officeDocument/2006/relationships/hyperlink" Target="http://mobilhazak.extra.hu/22-garage/zz-kertarolo-valtozat-sum-nk.jpg" TargetMode="External" /><Relationship Id="rId10" Type="http://schemas.openxmlformats.org/officeDocument/2006/relationships/hyperlink" Target="http://www.extramobilhazak.hu/1-sorolok/Skf-kozepfal.modul-0.4-2.4m2-sum.jpg" TargetMode="External" /><Relationship Id="rId11" Type="http://schemas.openxmlformats.org/officeDocument/2006/relationships/hyperlink" Target="http://mobilhazak.extra.hu/v-arak-kondiciok-kiegeszitok.html#ss" TargetMode="External" /><Relationship Id="rId12" Type="http://schemas.openxmlformats.org/officeDocument/2006/relationships/hyperlink" Target="http://mobilhazak.extra.hu/v-arak-kondiciok-kiegeszitok.html#ms" TargetMode="External" /><Relationship Id="rId13" Type="http://schemas.openxmlformats.org/officeDocument/2006/relationships/hyperlink" Target="http://mobilhazak.extra.hu/v-arak-kondiciok-kiegeszitok.html#ls" TargetMode="External" /><Relationship Id="rId14" Type="http://schemas.openxmlformats.org/officeDocument/2006/relationships/hyperlink" Target="http://mobilhazak.extra.hu/v-arak-kondiciok-kiegeszitok.html#xls" TargetMode="External" /><Relationship Id="rId15" Type="http://schemas.openxmlformats.org/officeDocument/2006/relationships/hyperlink" Target="http://mobilhazak.extra.hu/v-arak.sacy.html#mary" TargetMode="External" /><Relationship Id="rId16" Type="http://schemas.openxmlformats.org/officeDocument/2006/relationships/hyperlink" Target="http://mobilhazak.extra.hu/v-arak.lizy.html#lizy" TargetMode="External" /><Relationship Id="rId17" Type="http://schemas.openxmlformats.org/officeDocument/2006/relationships/hyperlink" Target="http://mobilhazak.extra.hu/v-arak.xlizy.html#xlizy" TargetMode="External" /><Relationship Id="rId18" Type="http://schemas.openxmlformats.org/officeDocument/2006/relationships/hyperlink" Target="http://www.extramobilhazak.hu/a-mobilhome.plain/67.9m2-xL85-55-2db.ew2-ref-HH22cm.jpg" TargetMode="External" /><Relationship Id="rId19" Type="http://schemas.openxmlformats.org/officeDocument/2006/relationships/hyperlink" Target="http://www.mobilhazak.extra.hu/altalanos.felszereltseg.html#konyha" TargetMode="External" /><Relationship Id="rId20" Type="http://schemas.openxmlformats.org/officeDocument/2006/relationships/hyperlink" Target="http://www.extramobilhazak.hu/2-egyteru/egyteru-4db-robbantott.jpg" TargetMode="External" /><Relationship Id="rId21" Type="http://schemas.openxmlformats.org/officeDocument/2006/relationships/hyperlink" Target="http://www.mobilhazak.extra.hu/v-arak-kondiciok-kiegeszitok.html#ews" TargetMode="External" /><Relationship Id="rId22" Type="http://schemas.openxmlformats.org/officeDocument/2006/relationships/hyperlink" Target="http://www.extramobilhazak.hu/v-arak-kondiciok-kiegeszitok.html#ews" TargetMode="External" /><Relationship Id="rId23" Type="http://schemas.openxmlformats.org/officeDocument/2006/relationships/hyperlink" Target="mailto:bautechnik@eurocomnet.hu" TargetMode="External" /><Relationship Id="rId24" Type="http://schemas.openxmlformats.org/officeDocument/2006/relationships/hyperlink" Target="callto:fransis69" TargetMode="External" /><Relationship Id="rId25" Type="http://schemas.openxmlformats.org/officeDocument/2006/relationships/hyperlink" Target="http://www.gyorshazak.extramobilhazak.hu/v-arak.oko-falak.fodemek.html" TargetMode="External" /><Relationship Id="rId26" Type="http://schemas.openxmlformats.org/officeDocument/2006/relationships/hyperlink" Target="http://www.extramobilhazak.hu/v-arak-kondiciok-kiegeszitok.html#ns" TargetMode="External" /><Relationship Id="rId27" Type="http://schemas.openxmlformats.org/officeDocument/2006/relationships/hyperlink" Target="http://www.extramobilhazak.hu/v-arak-kondiciok-kiegeszitok.html#ss" TargetMode="External" /><Relationship Id="rId28" Type="http://schemas.openxmlformats.org/officeDocument/2006/relationships/hyperlink" Target="http://www.extramobilhazak.hu/v-arak-kondiciok-kiegeszitok.html#ms" TargetMode="External" /><Relationship Id="rId29" Type="http://schemas.openxmlformats.org/officeDocument/2006/relationships/hyperlink" Target="http://www.extramobilhazak.hu/v-arak-kondiciok-kiegeszitok.html#ls" TargetMode="External" /><Relationship Id="rId30" Type="http://schemas.openxmlformats.org/officeDocument/2006/relationships/hyperlink" Target="http://www.extramobilhazak.hu/v-arak-kondiciok-kiegeszitok.html#xls" TargetMode="External" /><Relationship Id="rId31" Type="http://schemas.openxmlformats.org/officeDocument/2006/relationships/hyperlink" Target="http://www.extramobilhazak.hu/1-sorolok/Sf-zarofal.modul-0.4-2.4m2-sum.jpg" TargetMode="External" /><Relationship Id="rId32" Type="http://schemas.openxmlformats.org/officeDocument/2006/relationships/hyperlink" Target="http://www.extramobilhazak.hu/22-garage/zz-kertarolo-valtozat-sum-nk.jpg" TargetMode="External" /><Relationship Id="rId33" Type="http://schemas.openxmlformats.org/officeDocument/2006/relationships/hyperlink" Target="http://extramobilhazak.hu/2-nyilasok/panel-nyilasok.sum.jpg" TargetMode="External" /><Relationship Id="rId34" Type="http://schemas.openxmlformats.org/officeDocument/2006/relationships/hyperlink" Target="http://www.extramobilhazak.hu/altalanos.felszereltseg.html#konyha" TargetMode="External" /><Relationship Id="rId35" Type="http://schemas.openxmlformats.org/officeDocument/2006/relationships/hyperlink" Target="http://www.extramobilhazak.hu/v-arak.00-egyter-komfortok.html#1" TargetMode="External" /><Relationship Id="rId36" Type="http://schemas.openxmlformats.org/officeDocument/2006/relationships/hyperlink" Target="http://www.extramobilhazak.hu/v-arak.00-egyter-komfortok.html#2" TargetMode="External" /><Relationship Id="rId37" Type="http://schemas.openxmlformats.org/officeDocument/2006/relationships/hyperlink" Target="http://www.extramobilhazak.hu/v-arak.00-egyter-komfortok.html#3" TargetMode="External" /><Relationship Id="rId38" Type="http://schemas.openxmlformats.org/officeDocument/2006/relationships/hyperlink" Target="http://www.extramobilhazak.hu/altalanos.felszereltseg.html" TargetMode="External" /><Relationship Id="rId39" Type="http://schemas.openxmlformats.org/officeDocument/2006/relationships/hyperlink" Target="http://extramobilhazak.hu/2-nyilasok/panel-nyilasok.sum.jpg" TargetMode="External" /><Relationship Id="rId40" Type="http://schemas.openxmlformats.org/officeDocument/2006/relationships/hyperlink" Target="http://www.extramobilhazak.hu/v-arak-kondiciok-kiegeszitok.html#ews" TargetMode="External" /><Relationship Id="rId41" Type="http://schemas.openxmlformats.org/officeDocument/2006/relationships/hyperlink" Target="http://www.extramobilhazak.hu/v-arak-kondiciok-kiegeszitok.html#elo" TargetMode="External" /><Relationship Id="rId42" Type="http://schemas.openxmlformats.org/officeDocument/2006/relationships/hyperlink" Target="http://www.extramobilhazak.hu/v-arak.00-egyter-komfortok.html#4" TargetMode="External" /><Relationship Id="rId43" Type="http://schemas.openxmlformats.org/officeDocument/2006/relationships/hyperlink" Target="http://www.extramobilhazak.hu/v-arak.00-egy-helyisegek.html#4" TargetMode="External" /><Relationship Id="rId44" Type="http://schemas.openxmlformats.org/officeDocument/2006/relationships/hyperlink" Target="http://mobilhazak.extra.hu/v-arak-kondiciok-kiegeszitok.html#ns" TargetMode="External" /><Relationship Id="rId45" Type="http://schemas.openxmlformats.org/officeDocument/2006/relationships/comments" Target="../comments2.xml" /><Relationship Id="rId46" Type="http://schemas.openxmlformats.org/officeDocument/2006/relationships/vmlDrawing" Target="../drawings/vmlDrawing1.vml" /><Relationship Id="rId47" Type="http://schemas.openxmlformats.org/officeDocument/2006/relationships/drawing" Target="../drawings/drawing2.xml" /><Relationship Id="rId48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09"/>
  <sheetViews>
    <sheetView showGridLines="0" zoomScaleSheetLayoutView="100" workbookViewId="0" topLeftCell="A10">
      <selection activeCell="A1" sqref="A1"/>
    </sheetView>
  </sheetViews>
  <sheetFormatPr defaultColWidth="10" defaultRowHeight="12.75" customHeight="1" zeroHeight="1"/>
  <cols>
    <col min="1" max="1" width="6.75" style="8" customWidth="1"/>
    <col min="2" max="2" width="0.99609375" style="1" customWidth="1"/>
    <col min="3" max="3" width="5.25" style="2" customWidth="1"/>
    <col min="4" max="4" width="6.5" style="1" customWidth="1"/>
    <col min="5" max="5" width="38.25" style="1" customWidth="1"/>
    <col min="6" max="6" width="5.75" style="1" customWidth="1"/>
    <col min="7" max="7" width="2.25" style="4" customWidth="1"/>
    <col min="8" max="9" width="6.25" style="1" customWidth="1"/>
    <col min="10" max="10" width="6.75" style="1" customWidth="1"/>
    <col min="11" max="11" width="3.25" style="3" customWidth="1"/>
    <col min="12" max="12" width="9.25" style="7" customWidth="1"/>
    <col min="13" max="13" width="0.75" style="1" customWidth="1"/>
    <col min="14" max="14" width="10.75" style="7" customWidth="1"/>
    <col min="15" max="15" width="0.75" style="1" customWidth="1"/>
    <col min="16" max="16" width="2.75" style="57" customWidth="1"/>
    <col min="17" max="17" width="6.25" style="1" customWidth="1"/>
    <col min="18" max="18" width="2" style="51" customWidth="1"/>
    <col min="19" max="19" width="2.5" style="4" customWidth="1"/>
    <col min="20" max="20" width="2" style="1" customWidth="1"/>
    <col min="21" max="21" width="7.5" style="100" customWidth="1"/>
    <col min="22" max="22" width="3.25" style="4" customWidth="1"/>
    <col min="23" max="23" width="13" style="11" customWidth="1"/>
    <col min="24" max="24" width="14.75" style="11" customWidth="1"/>
    <col min="25" max="25" width="2.75" style="4" customWidth="1"/>
    <col min="26" max="26" width="11.5" style="11" customWidth="1"/>
    <col min="27" max="27" width="10.5" style="7" customWidth="1"/>
    <col min="28" max="28" width="2" style="4" customWidth="1"/>
    <col min="29" max="30" width="0.75" style="1" customWidth="1"/>
    <col min="31" max="31" width="10.5" style="7" customWidth="1"/>
    <col min="32" max="32" width="1.75" style="1" customWidth="1"/>
    <col min="33" max="16384" width="2.75" style="1" hidden="1" customWidth="1"/>
  </cols>
  <sheetData>
    <row r="1" spans="1:31" s="138" customFormat="1" ht="39.75" customHeight="1">
      <c r="A1" s="137" t="s">
        <v>530</v>
      </c>
      <c r="C1" s="139">
        <v>4.5</v>
      </c>
      <c r="D1" s="140">
        <v>5.67</v>
      </c>
      <c r="E1" s="140">
        <v>37.33</v>
      </c>
      <c r="F1" s="140">
        <v>4.83</v>
      </c>
      <c r="G1" s="141">
        <v>1.33</v>
      </c>
      <c r="H1" s="140">
        <v>5.5</v>
      </c>
      <c r="I1" s="140">
        <v>5.33</v>
      </c>
      <c r="J1" s="140">
        <v>5.83</v>
      </c>
      <c r="K1" s="141">
        <v>2.33</v>
      </c>
      <c r="L1" s="142">
        <v>8.5</v>
      </c>
      <c r="M1" s="140">
        <v>0.45</v>
      </c>
      <c r="N1" s="142">
        <v>10</v>
      </c>
      <c r="O1" s="140">
        <v>0.45</v>
      </c>
      <c r="P1" s="143">
        <v>2</v>
      </c>
      <c r="Q1" s="140">
        <v>3.3</v>
      </c>
      <c r="R1" s="144">
        <v>0.55</v>
      </c>
      <c r="S1" s="141">
        <v>2.33</v>
      </c>
      <c r="T1" s="140">
        <v>1.17</v>
      </c>
      <c r="U1" s="145">
        <v>6.67</v>
      </c>
      <c r="V1" s="141">
        <v>2.5</v>
      </c>
      <c r="W1" s="146">
        <v>12.17</v>
      </c>
      <c r="X1" s="146">
        <v>14</v>
      </c>
      <c r="Y1" s="141">
        <v>1.83</v>
      </c>
      <c r="Z1" s="146">
        <v>10.67</v>
      </c>
      <c r="AA1" s="142">
        <v>9.67</v>
      </c>
      <c r="AB1" s="141">
        <v>1</v>
      </c>
      <c r="AC1" s="140"/>
      <c r="AD1" s="140"/>
      <c r="AE1" s="147">
        <v>9.67</v>
      </c>
    </row>
    <row r="2" spans="3:31" s="12" customFormat="1" ht="12.75" customHeight="1">
      <c r="C2" s="44"/>
      <c r="G2" s="22"/>
      <c r="K2" s="45"/>
      <c r="L2" s="25"/>
      <c r="N2" s="25"/>
      <c r="P2" s="58"/>
      <c r="R2" s="56"/>
      <c r="S2" s="22"/>
      <c r="U2" s="106"/>
      <c r="V2" s="22"/>
      <c r="W2" s="26"/>
      <c r="X2" s="26"/>
      <c r="Y2" s="22"/>
      <c r="Z2" s="26"/>
      <c r="AA2" s="25"/>
      <c r="AB2" s="22"/>
      <c r="AE2" s="25"/>
    </row>
    <row r="3" spans="3:31" s="12" customFormat="1" ht="12.75" customHeight="1">
      <c r="C3" s="44"/>
      <c r="G3" s="22"/>
      <c r="K3" s="45"/>
      <c r="L3" s="25"/>
      <c r="N3" s="25"/>
      <c r="P3" s="58"/>
      <c r="R3" s="56"/>
      <c r="S3" s="22"/>
      <c r="U3" s="106"/>
      <c r="V3" s="22"/>
      <c r="W3" s="26"/>
      <c r="X3" s="26"/>
      <c r="Y3" s="22"/>
      <c r="Z3" s="26"/>
      <c r="AA3" s="25"/>
      <c r="AB3" s="22"/>
      <c r="AE3" s="25"/>
    </row>
    <row r="4" spans="3:31" s="12" customFormat="1" ht="12.75" customHeight="1">
      <c r="C4" s="44"/>
      <c r="G4" s="22"/>
      <c r="K4" s="45"/>
      <c r="L4" s="25"/>
      <c r="N4" s="25"/>
      <c r="P4" s="58"/>
      <c r="R4" s="56"/>
      <c r="S4" s="22"/>
      <c r="U4" s="106"/>
      <c r="V4" s="22"/>
      <c r="W4" s="26"/>
      <c r="X4" s="26"/>
      <c r="Y4" s="22"/>
      <c r="Z4" s="26"/>
      <c r="AA4" s="25"/>
      <c r="AB4" s="22"/>
      <c r="AE4" s="25"/>
    </row>
    <row r="5" spans="3:31" s="12" customFormat="1" ht="12.75" customHeight="1">
      <c r="C5" s="44" t="s">
        <v>440</v>
      </c>
      <c r="G5" s="22"/>
      <c r="K5" s="45"/>
      <c r="L5" s="25"/>
      <c r="N5" s="25"/>
      <c r="P5" s="58"/>
      <c r="R5" s="56"/>
      <c r="S5" s="22"/>
      <c r="U5" s="106"/>
      <c r="V5" s="22"/>
      <c r="W5" s="26"/>
      <c r="X5" s="26"/>
      <c r="Y5" s="22"/>
      <c r="Z5" s="26"/>
      <c r="AA5" s="25" t="s">
        <v>208</v>
      </c>
      <c r="AB5" s="22"/>
      <c r="AE5" s="25"/>
    </row>
    <row r="6" spans="3:31" s="12" customFormat="1" ht="12.75" customHeight="1">
      <c r="C6" s="44" t="s">
        <v>209</v>
      </c>
      <c r="F6" s="12" t="s">
        <v>210</v>
      </c>
      <c r="G6" s="22"/>
      <c r="H6" s="968" t="s">
        <v>515</v>
      </c>
      <c r="I6" s="968"/>
      <c r="J6" s="968"/>
      <c r="K6" s="968"/>
      <c r="L6" s="968"/>
      <c r="M6" s="968"/>
      <c r="N6" s="968"/>
      <c r="O6" s="968"/>
      <c r="P6" s="58"/>
      <c r="R6" s="56"/>
      <c r="S6" s="22"/>
      <c r="U6" s="106"/>
      <c r="V6" s="22"/>
      <c r="W6" s="26" t="s">
        <v>436</v>
      </c>
      <c r="X6" s="26">
        <v>10</v>
      </c>
      <c r="Y6" s="22" t="s">
        <v>438</v>
      </c>
      <c r="Z6" s="26" t="s">
        <v>439</v>
      </c>
      <c r="AA6" s="25"/>
      <c r="AB6" s="22"/>
      <c r="AE6" s="25" t="s">
        <v>437</v>
      </c>
    </row>
    <row r="7" spans="3:31" s="12" customFormat="1" ht="12.75" customHeight="1">
      <c r="C7" s="44"/>
      <c r="F7" s="12" t="s">
        <v>211</v>
      </c>
      <c r="G7" s="22"/>
      <c r="H7" s="987" t="s">
        <v>212</v>
      </c>
      <c r="I7" s="988"/>
      <c r="J7" s="988"/>
      <c r="K7" s="988"/>
      <c r="L7" s="988"/>
      <c r="M7" s="12" t="s">
        <v>213</v>
      </c>
      <c r="N7" s="25"/>
      <c r="P7" s="58"/>
      <c r="Q7" s="987" t="s">
        <v>214</v>
      </c>
      <c r="R7" s="988"/>
      <c r="S7" s="988"/>
      <c r="T7" s="988"/>
      <c r="U7" s="988"/>
      <c r="V7" s="22"/>
      <c r="W7" s="26"/>
      <c r="X7" s="26"/>
      <c r="Y7" s="22"/>
      <c r="Z7" s="26"/>
      <c r="AA7" s="25"/>
      <c r="AB7" s="22"/>
      <c r="AE7" s="25"/>
    </row>
    <row r="8" spans="3:31" s="12" customFormat="1" ht="12.75" customHeight="1">
      <c r="C8" s="44"/>
      <c r="G8" s="22"/>
      <c r="K8" s="45"/>
      <c r="L8" s="25"/>
      <c r="N8" s="25"/>
      <c r="P8" s="58"/>
      <c r="R8" s="56"/>
      <c r="S8" s="22"/>
      <c r="U8" s="106"/>
      <c r="V8" s="22"/>
      <c r="W8" s="26"/>
      <c r="X8" s="26"/>
      <c r="Y8" s="22"/>
      <c r="Z8" s="26"/>
      <c r="AA8" s="25"/>
      <c r="AB8" s="22"/>
      <c r="AE8" s="25"/>
    </row>
    <row r="9" spans="3:31" s="12" customFormat="1" ht="3" customHeight="1">
      <c r="C9" s="109"/>
      <c r="D9" s="110"/>
      <c r="E9" s="110"/>
      <c r="F9" s="110"/>
      <c r="G9" s="111"/>
      <c r="H9" s="112"/>
      <c r="I9" s="110"/>
      <c r="J9" s="110"/>
      <c r="K9" s="110"/>
      <c r="L9" s="113"/>
      <c r="M9" s="110"/>
      <c r="N9" s="110"/>
      <c r="O9" s="110"/>
      <c r="P9" s="112"/>
      <c r="Q9" s="110"/>
      <c r="R9" s="114"/>
      <c r="S9" s="110"/>
      <c r="T9" s="110"/>
      <c r="U9" s="110"/>
      <c r="V9" s="110"/>
      <c r="W9" s="113"/>
      <c r="X9" s="115"/>
      <c r="Y9" s="110"/>
      <c r="Z9" s="112"/>
      <c r="AA9" s="110"/>
      <c r="AB9" s="110"/>
      <c r="AC9" s="116"/>
      <c r="AD9" s="117"/>
      <c r="AE9" s="113"/>
    </row>
    <row r="10" spans="3:16" ht="69.75" customHeight="1">
      <c r="C10" s="41" t="s">
        <v>377</v>
      </c>
      <c r="L10" s="1"/>
      <c r="N10" s="130"/>
      <c r="P10" s="1"/>
    </row>
    <row r="11" spans="1:31" s="119" customFormat="1" ht="13.5" customHeight="1">
      <c r="A11" s="118"/>
      <c r="C11" s="120"/>
      <c r="G11" s="120"/>
      <c r="K11" s="121"/>
      <c r="N11" s="122"/>
      <c r="R11" s="123"/>
      <c r="S11" s="120"/>
      <c r="U11" s="124"/>
      <c r="V11" s="120"/>
      <c r="W11" s="11"/>
      <c r="AE11" s="11"/>
    </row>
    <row r="12" spans="4:28" ht="19.5" customHeight="1">
      <c r="D12" s="1" t="s">
        <v>141</v>
      </c>
      <c r="X12" s="1"/>
      <c r="Y12" s="1"/>
      <c r="Z12" s="1"/>
      <c r="AA12" s="1"/>
      <c r="AB12" s="1"/>
    </row>
    <row r="13" spans="4:28" ht="19.5" customHeight="1">
      <c r="D13" s="1" t="s">
        <v>142</v>
      </c>
      <c r="X13" s="1"/>
      <c r="Y13" s="1"/>
      <c r="Z13" s="1"/>
      <c r="AA13" s="1"/>
      <c r="AB13" s="1"/>
    </row>
    <row r="14" spans="4:28" ht="19.5" customHeight="1">
      <c r="D14" s="1" t="s">
        <v>143</v>
      </c>
      <c r="X14" s="1"/>
      <c r="Y14" s="1"/>
      <c r="Z14" s="1"/>
      <c r="AA14" s="1"/>
      <c r="AB14" s="1"/>
    </row>
    <row r="15" ht="24.75" customHeight="1"/>
    <row r="16" spans="3:17" ht="12.75" customHeight="1">
      <c r="C16" s="2" t="s">
        <v>378</v>
      </c>
      <c r="Q16" s="1" t="s">
        <v>379</v>
      </c>
    </row>
    <row r="17" spans="1:31" s="31" customFormat="1" ht="16.5" customHeight="1">
      <c r="A17" s="24"/>
      <c r="C17" s="972" t="s">
        <v>380</v>
      </c>
      <c r="D17" s="973"/>
      <c r="E17" s="997"/>
      <c r="F17" s="998"/>
      <c r="G17" s="998"/>
      <c r="H17" s="998"/>
      <c r="I17" s="998"/>
      <c r="J17" s="998"/>
      <c r="K17" s="998"/>
      <c r="L17" s="999"/>
      <c r="N17" s="33"/>
      <c r="P17" s="69"/>
      <c r="Q17" s="981" t="s">
        <v>383</v>
      </c>
      <c r="R17" s="981"/>
      <c r="S17" s="981"/>
      <c r="T17" s="981"/>
      <c r="U17" s="980"/>
      <c r="V17" s="980"/>
      <c r="W17" s="980"/>
      <c r="X17" s="77" t="s">
        <v>381</v>
      </c>
      <c r="Y17" s="980"/>
      <c r="Z17" s="980"/>
      <c r="AA17" s="980"/>
      <c r="AB17" s="980"/>
      <c r="AC17" s="980"/>
      <c r="AD17" s="980"/>
      <c r="AE17" s="980"/>
    </row>
    <row r="18" spans="1:31" s="31" customFormat="1" ht="16.5" customHeight="1">
      <c r="A18" s="24"/>
      <c r="C18" s="72" t="s">
        <v>382</v>
      </c>
      <c r="D18" s="72"/>
      <c r="E18" s="966"/>
      <c r="F18" s="966"/>
      <c r="G18" s="966"/>
      <c r="H18" s="966"/>
      <c r="I18" s="966"/>
      <c r="J18" s="966"/>
      <c r="K18" s="966"/>
      <c r="L18" s="966"/>
      <c r="N18" s="33"/>
      <c r="P18" s="69"/>
      <c r="Q18" s="981" t="s">
        <v>383</v>
      </c>
      <c r="R18" s="981"/>
      <c r="S18" s="981"/>
      <c r="T18" s="981"/>
      <c r="U18" s="980"/>
      <c r="V18" s="980"/>
      <c r="W18" s="980"/>
      <c r="X18" s="77" t="s">
        <v>381</v>
      </c>
      <c r="Y18" s="980"/>
      <c r="Z18" s="980"/>
      <c r="AA18" s="980"/>
      <c r="AB18" s="980"/>
      <c r="AC18" s="980"/>
      <c r="AD18" s="980"/>
      <c r="AE18" s="980"/>
    </row>
    <row r="19" spans="1:31" s="31" customFormat="1" ht="16.5" customHeight="1">
      <c r="A19" s="24"/>
      <c r="C19" s="72" t="s">
        <v>164</v>
      </c>
      <c r="D19" s="72"/>
      <c r="E19" s="966"/>
      <c r="F19" s="966"/>
      <c r="G19" s="966"/>
      <c r="H19" s="966"/>
      <c r="I19" s="966"/>
      <c r="J19" s="966"/>
      <c r="K19" s="966"/>
      <c r="L19" s="966"/>
      <c r="N19" s="33"/>
      <c r="P19" s="69"/>
      <c r="Q19" s="981" t="s">
        <v>383</v>
      </c>
      <c r="R19" s="981"/>
      <c r="S19" s="981"/>
      <c r="T19" s="981"/>
      <c r="U19" s="980"/>
      <c r="V19" s="980"/>
      <c r="W19" s="980"/>
      <c r="X19" s="77" t="s">
        <v>381</v>
      </c>
      <c r="Y19" s="980"/>
      <c r="Z19" s="980"/>
      <c r="AA19" s="980"/>
      <c r="AB19" s="980"/>
      <c r="AC19" s="980"/>
      <c r="AD19" s="980"/>
      <c r="AE19" s="980"/>
    </row>
    <row r="20" spans="1:31" s="34" customFormat="1" ht="2.25" customHeight="1">
      <c r="A20" s="70"/>
      <c r="C20" s="73"/>
      <c r="D20" s="73"/>
      <c r="E20" s="63"/>
      <c r="F20" s="63"/>
      <c r="G20" s="63"/>
      <c r="H20" s="63"/>
      <c r="I20" s="63"/>
      <c r="J20" s="63"/>
      <c r="K20" s="64"/>
      <c r="L20" s="65"/>
      <c r="N20" s="43"/>
      <c r="P20" s="71"/>
      <c r="Q20" s="73"/>
      <c r="R20" s="74"/>
      <c r="S20" s="73"/>
      <c r="T20" s="73"/>
      <c r="U20" s="163"/>
      <c r="V20" s="164"/>
      <c r="W20" s="165"/>
      <c r="X20" s="78"/>
      <c r="Y20" s="164"/>
      <c r="Z20" s="165"/>
      <c r="AA20" s="165"/>
      <c r="AB20" s="164"/>
      <c r="AC20" s="164"/>
      <c r="AD20" s="164"/>
      <c r="AE20" s="165"/>
    </row>
    <row r="21" spans="1:31" s="31" customFormat="1" ht="16.5" customHeight="1">
      <c r="A21" s="24"/>
      <c r="C21" s="981" t="s">
        <v>384</v>
      </c>
      <c r="D21" s="981"/>
      <c r="E21" s="967" t="s">
        <v>171</v>
      </c>
      <c r="F21" s="967"/>
      <c r="G21" s="967"/>
      <c r="H21" s="967"/>
      <c r="I21" s="967"/>
      <c r="J21" s="967"/>
      <c r="K21" s="967"/>
      <c r="L21" s="967"/>
      <c r="N21" s="33"/>
      <c r="P21" s="69"/>
      <c r="Q21" s="981" t="s">
        <v>211</v>
      </c>
      <c r="R21" s="981"/>
      <c r="S21" s="981"/>
      <c r="T21" s="981"/>
      <c r="U21" s="980"/>
      <c r="V21" s="980"/>
      <c r="W21" s="980"/>
      <c r="X21" s="77" t="s">
        <v>381</v>
      </c>
      <c r="Y21" s="980"/>
      <c r="Z21" s="980"/>
      <c r="AA21" s="980"/>
      <c r="AB21" s="980"/>
      <c r="AC21" s="980"/>
      <c r="AD21" s="980"/>
      <c r="AE21" s="980"/>
    </row>
    <row r="22" spans="1:31" s="31" customFormat="1" ht="16.5" customHeight="1">
      <c r="A22" s="24"/>
      <c r="C22" s="981" t="s">
        <v>384</v>
      </c>
      <c r="D22" s="981"/>
      <c r="E22" s="967" t="s">
        <v>172</v>
      </c>
      <c r="F22" s="967"/>
      <c r="G22" s="967"/>
      <c r="H22" s="967"/>
      <c r="I22" s="967"/>
      <c r="J22" s="967"/>
      <c r="K22" s="967"/>
      <c r="L22" s="967"/>
      <c r="N22" s="33"/>
      <c r="P22" s="69"/>
      <c r="Q22" s="981" t="s">
        <v>211</v>
      </c>
      <c r="R22" s="981"/>
      <c r="S22" s="981"/>
      <c r="T22" s="981"/>
      <c r="U22" s="980"/>
      <c r="V22" s="980"/>
      <c r="W22" s="980"/>
      <c r="X22" s="77" t="s">
        <v>381</v>
      </c>
      <c r="Y22" s="980"/>
      <c r="Z22" s="980"/>
      <c r="AA22" s="980"/>
      <c r="AB22" s="980"/>
      <c r="AC22" s="980"/>
      <c r="AD22" s="980"/>
      <c r="AE22" s="980"/>
    </row>
    <row r="23" spans="1:31" s="31" customFormat="1" ht="16.5" customHeight="1">
      <c r="A23" s="24"/>
      <c r="C23" s="72" t="s">
        <v>385</v>
      </c>
      <c r="D23" s="72"/>
      <c r="E23" s="162"/>
      <c r="F23" s="72" t="s">
        <v>386</v>
      </c>
      <c r="G23" s="989"/>
      <c r="H23" s="990"/>
      <c r="I23" s="990"/>
      <c r="J23" s="990"/>
      <c r="K23" s="990"/>
      <c r="L23" s="991"/>
      <c r="N23" s="33"/>
      <c r="P23" s="69"/>
      <c r="Q23" s="75"/>
      <c r="R23" s="76"/>
      <c r="S23" s="75"/>
      <c r="T23" s="75"/>
      <c r="U23" s="168"/>
      <c r="V23" s="166"/>
      <c r="W23" s="167"/>
      <c r="X23" s="79"/>
      <c r="Y23" s="166"/>
      <c r="Z23" s="167"/>
      <c r="AA23" s="167"/>
      <c r="AB23" s="166"/>
      <c r="AC23" s="166"/>
      <c r="AD23" s="166"/>
      <c r="AE23" s="167"/>
    </row>
    <row r="24" spans="1:31" s="31" customFormat="1" ht="16.5" customHeight="1">
      <c r="A24" s="24"/>
      <c r="C24" s="72" t="s">
        <v>387</v>
      </c>
      <c r="D24" s="72"/>
      <c r="E24" s="971"/>
      <c r="F24" s="971"/>
      <c r="G24" s="971"/>
      <c r="H24" s="971"/>
      <c r="I24" s="971"/>
      <c r="J24" s="971"/>
      <c r="K24" s="971"/>
      <c r="L24" s="971"/>
      <c r="N24" s="33"/>
      <c r="P24" s="69"/>
      <c r="Q24" s="981" t="s">
        <v>388</v>
      </c>
      <c r="R24" s="981"/>
      <c r="S24" s="981"/>
      <c r="T24" s="981"/>
      <c r="U24" s="980"/>
      <c r="V24" s="980"/>
      <c r="W24" s="980"/>
      <c r="X24" s="77" t="s">
        <v>381</v>
      </c>
      <c r="Y24" s="980"/>
      <c r="Z24" s="980"/>
      <c r="AA24" s="980"/>
      <c r="AB24" s="980"/>
      <c r="AC24" s="980"/>
      <c r="AD24" s="980"/>
      <c r="AE24" s="980"/>
    </row>
    <row r="25" spans="1:31" s="31" customFormat="1" ht="16.5" customHeight="1">
      <c r="A25" s="24"/>
      <c r="C25" s="72" t="s">
        <v>389</v>
      </c>
      <c r="D25" s="72"/>
      <c r="E25" s="971"/>
      <c r="F25" s="971"/>
      <c r="G25" s="971"/>
      <c r="H25" s="971"/>
      <c r="I25" s="971"/>
      <c r="J25" s="971"/>
      <c r="K25" s="971"/>
      <c r="L25" s="971"/>
      <c r="N25" s="33"/>
      <c r="P25" s="69"/>
      <c r="Q25" s="981" t="s">
        <v>390</v>
      </c>
      <c r="R25" s="981"/>
      <c r="S25" s="981"/>
      <c r="T25" s="981"/>
      <c r="U25" s="980"/>
      <c r="V25" s="980"/>
      <c r="W25" s="980"/>
      <c r="X25" s="77" t="s">
        <v>381</v>
      </c>
      <c r="Y25" s="980"/>
      <c r="Z25" s="980"/>
      <c r="AA25" s="980"/>
      <c r="AB25" s="980"/>
      <c r="AC25" s="980"/>
      <c r="AD25" s="980"/>
      <c r="AE25" s="980"/>
    </row>
    <row r="26" ht="12.75" customHeight="1">
      <c r="C26" s="2" t="s">
        <v>391</v>
      </c>
    </row>
    <row r="27" ht="12.75" customHeight="1"/>
    <row r="28" ht="12.75" customHeight="1"/>
    <row r="29" spans="3:31" ht="12.75" customHeight="1">
      <c r="C29" s="44"/>
      <c r="AE29" s="23" t="s">
        <v>376</v>
      </c>
    </row>
    <row r="30" ht="12.75" customHeight="1"/>
    <row r="31" spans="3:31" s="12" customFormat="1" ht="21" customHeight="1">
      <c r="C31" s="44"/>
      <c r="G31" s="22"/>
      <c r="K31" s="45"/>
      <c r="L31" s="25"/>
      <c r="N31" s="25"/>
      <c r="P31" s="58"/>
      <c r="R31" s="56"/>
      <c r="S31" s="22"/>
      <c r="U31" s="106"/>
      <c r="V31" s="22"/>
      <c r="W31" s="26"/>
      <c r="X31" s="26"/>
      <c r="Y31" s="22"/>
      <c r="Z31" s="26"/>
      <c r="AA31" s="25"/>
      <c r="AB31" s="22"/>
      <c r="AE31" s="25"/>
    </row>
    <row r="32" spans="1:31" s="12" customFormat="1" ht="21" customHeight="1">
      <c r="A32" s="8"/>
      <c r="B32" s="1"/>
      <c r="C32" s="39"/>
      <c r="D32" s="27"/>
      <c r="E32" s="27"/>
      <c r="F32" s="27"/>
      <c r="G32" s="28"/>
      <c r="H32" s="27"/>
      <c r="I32" s="27"/>
      <c r="J32" s="27"/>
      <c r="K32" s="40"/>
      <c r="L32" s="29"/>
      <c r="M32" s="27"/>
      <c r="N32" s="29"/>
      <c r="O32" s="27"/>
      <c r="P32" s="62"/>
      <c r="Q32" s="27"/>
      <c r="R32" s="53"/>
      <c r="S32" s="28"/>
      <c r="T32" s="27"/>
      <c r="U32" s="101"/>
      <c r="V32" s="28"/>
      <c r="W32" s="30"/>
      <c r="X32" s="30"/>
      <c r="Y32" s="28"/>
      <c r="Z32" s="30"/>
      <c r="AA32" s="29"/>
      <c r="AB32" s="28"/>
      <c r="AC32" s="1"/>
      <c r="AD32" s="1"/>
      <c r="AE32" s="29"/>
    </row>
    <row r="33" spans="1:31" s="12" customFormat="1" ht="21" customHeight="1">
      <c r="A33" s="8"/>
      <c r="B33" s="1"/>
      <c r="C33" s="13" t="s">
        <v>375</v>
      </c>
      <c r="D33" s="8"/>
      <c r="E33" s="8" t="s">
        <v>456</v>
      </c>
      <c r="F33" s="8"/>
      <c r="G33" s="14"/>
      <c r="H33" s="8"/>
      <c r="I33" s="8"/>
      <c r="J33" s="8"/>
      <c r="K33" s="37"/>
      <c r="L33" s="15"/>
      <c r="M33" s="8"/>
      <c r="N33" s="15"/>
      <c r="O33" s="8"/>
      <c r="P33" s="60"/>
      <c r="Q33" s="172"/>
      <c r="R33" s="52"/>
      <c r="S33" s="37"/>
      <c r="T33" s="172"/>
      <c r="U33" s="173">
        <f>calc!U424</f>
        <v>1E-06</v>
      </c>
      <c r="V33" s="37" t="str">
        <f>calc!V424</f>
        <v>m2</v>
      </c>
      <c r="W33" s="152">
        <f>calc!W424</f>
        <v>0</v>
      </c>
      <c r="X33" s="152">
        <f>calc!X424</f>
        <v>0</v>
      </c>
      <c r="Y33" s="37" t="s">
        <v>241</v>
      </c>
      <c r="Z33" s="152">
        <f>calc!Z424</f>
        <v>0</v>
      </c>
      <c r="AA33" s="174">
        <f>calc!AA424</f>
        <v>0</v>
      </c>
      <c r="AB33" s="37" t="s">
        <v>229</v>
      </c>
      <c r="AC33" s="9"/>
      <c r="AD33" s="9"/>
      <c r="AE33" s="174"/>
    </row>
    <row r="34" spans="1:31" s="12" customFormat="1" ht="21" customHeight="1">
      <c r="A34" s="8"/>
      <c r="B34" s="1"/>
      <c r="C34" s="1"/>
      <c r="D34" s="1"/>
      <c r="E34" s="1"/>
      <c r="F34" s="1"/>
      <c r="G34" s="4"/>
      <c r="H34" s="1"/>
      <c r="I34" s="1"/>
      <c r="J34" s="1"/>
      <c r="K34" s="3"/>
      <c r="L34" s="7"/>
      <c r="M34" s="1"/>
      <c r="N34" s="7"/>
      <c r="O34" s="1"/>
      <c r="P34" s="57"/>
      <c r="Q34" s="9"/>
      <c r="R34" s="51"/>
      <c r="S34" s="3"/>
      <c r="T34" s="9"/>
      <c r="U34" s="99"/>
      <c r="V34" s="3"/>
      <c r="W34" s="21"/>
      <c r="X34" s="21"/>
      <c r="Y34" s="3"/>
      <c r="Z34" s="21"/>
      <c r="AA34" s="6"/>
      <c r="AB34" s="3"/>
      <c r="AC34" s="9"/>
      <c r="AD34" s="9"/>
      <c r="AE34" s="6"/>
    </row>
    <row r="35" spans="1:31" s="12" customFormat="1" ht="21" customHeight="1">
      <c r="A35" s="8"/>
      <c r="B35" s="1"/>
      <c r="C35" s="36"/>
      <c r="D35" s="129" t="s">
        <v>217</v>
      </c>
      <c r="E35" s="8" t="s">
        <v>504</v>
      </c>
      <c r="F35" s="190" t="s">
        <v>501</v>
      </c>
      <c r="G35" s="14"/>
      <c r="H35" s="8"/>
      <c r="I35" s="8"/>
      <c r="J35" s="8"/>
      <c r="K35" s="37"/>
      <c r="L35" s="15"/>
      <c r="M35" s="8"/>
      <c r="N35" s="15"/>
      <c r="O35" s="8"/>
      <c r="P35" s="60"/>
      <c r="Q35" s="172">
        <v>1</v>
      </c>
      <c r="R35" s="52"/>
      <c r="S35" s="37">
        <f>calc!S426</f>
        <v>0.15</v>
      </c>
      <c r="T35" s="172"/>
      <c r="U35" s="175">
        <f>S35</f>
        <v>0.15</v>
      </c>
      <c r="V35" s="37"/>
      <c r="W35" s="152">
        <f>calc!W426</f>
        <v>0</v>
      </c>
      <c r="X35" s="189">
        <f>calc!X426</f>
        <v>0</v>
      </c>
      <c r="Y35" s="37" t="s">
        <v>241</v>
      </c>
      <c r="Z35" s="152">
        <f>calc!Z426</f>
        <v>0</v>
      </c>
      <c r="AA35" s="153">
        <f>calc!AA426</f>
        <v>0</v>
      </c>
      <c r="AB35" s="37" t="s">
        <v>229</v>
      </c>
      <c r="AC35" s="9"/>
      <c r="AD35" s="9"/>
      <c r="AE35" s="174"/>
    </row>
    <row r="36" spans="1:31" s="12" customFormat="1" ht="21" customHeight="1">
      <c r="A36" s="8"/>
      <c r="B36" s="1"/>
      <c r="C36" s="36"/>
      <c r="D36" s="129" t="s">
        <v>218</v>
      </c>
      <c r="E36" s="8" t="s">
        <v>505</v>
      </c>
      <c r="F36" s="190" t="s">
        <v>502</v>
      </c>
      <c r="G36" s="14"/>
      <c r="H36" s="8"/>
      <c r="I36" s="8"/>
      <c r="J36" s="8"/>
      <c r="K36" s="37"/>
      <c r="L36" s="15"/>
      <c r="M36" s="8"/>
      <c r="N36" s="15"/>
      <c r="O36" s="8"/>
      <c r="P36" s="60"/>
      <c r="Q36" s="172">
        <v>1</v>
      </c>
      <c r="R36" s="52"/>
      <c r="S36" s="37">
        <f>calc!S427</f>
        <v>0.55</v>
      </c>
      <c r="T36" s="172"/>
      <c r="U36" s="175">
        <f>S36</f>
        <v>0.55</v>
      </c>
      <c r="V36" s="37"/>
      <c r="W36" s="152">
        <f>calc!W427</f>
        <v>0</v>
      </c>
      <c r="X36" s="189">
        <f>calc!X427</f>
        <v>0</v>
      </c>
      <c r="Y36" s="37" t="s">
        <v>241</v>
      </c>
      <c r="Z36" s="152">
        <f>calc!Z427</f>
        <v>0</v>
      </c>
      <c r="AA36" s="153">
        <f>calc!AA427</f>
        <v>0</v>
      </c>
      <c r="AB36" s="37" t="s">
        <v>229</v>
      </c>
      <c r="AC36" s="9"/>
      <c r="AD36" s="9"/>
      <c r="AE36" s="174"/>
    </row>
    <row r="37" spans="1:31" s="12" customFormat="1" ht="21" customHeight="1">
      <c r="A37" s="8"/>
      <c r="B37" s="1"/>
      <c r="C37" s="36"/>
      <c r="D37" s="129" t="s">
        <v>310</v>
      </c>
      <c r="E37" s="8" t="s">
        <v>506</v>
      </c>
      <c r="F37" s="190" t="s">
        <v>503</v>
      </c>
      <c r="G37" s="14"/>
      <c r="H37" s="8"/>
      <c r="I37" s="8"/>
      <c r="J37" s="8"/>
      <c r="K37" s="37"/>
      <c r="L37" s="15"/>
      <c r="M37" s="8"/>
      <c r="N37" s="15"/>
      <c r="O37" s="8"/>
      <c r="P37" s="60"/>
      <c r="Q37" s="172">
        <v>1</v>
      </c>
      <c r="R37" s="52"/>
      <c r="S37" s="37">
        <f>calc!S428</f>
        <v>0.29999999999999993</v>
      </c>
      <c r="T37" s="172"/>
      <c r="U37" s="175">
        <f>S37</f>
        <v>0.29999999999999993</v>
      </c>
      <c r="V37" s="37"/>
      <c r="W37" s="152">
        <f>calc!W428</f>
        <v>0</v>
      </c>
      <c r="X37" s="189">
        <f>calc!X428</f>
        <v>0</v>
      </c>
      <c r="Y37" s="37" t="s">
        <v>241</v>
      </c>
      <c r="Z37" s="152">
        <f>calc!Z428</f>
        <v>0</v>
      </c>
      <c r="AA37" s="153">
        <f>calc!AA428</f>
        <v>0</v>
      </c>
      <c r="AB37" s="37" t="s">
        <v>229</v>
      </c>
      <c r="AC37" s="9"/>
      <c r="AD37" s="9"/>
      <c r="AE37" s="174"/>
    </row>
    <row r="38" spans="1:31" s="12" customFormat="1" ht="21" customHeight="1">
      <c r="A38" s="8"/>
      <c r="B38" s="1"/>
      <c r="C38" s="1"/>
      <c r="D38" s="1"/>
      <c r="E38" s="1"/>
      <c r="F38" s="1"/>
      <c r="G38" s="4"/>
      <c r="H38" s="1"/>
      <c r="I38" s="1"/>
      <c r="J38" s="1"/>
      <c r="K38" s="3"/>
      <c r="L38" s="7"/>
      <c r="M38" s="1"/>
      <c r="N38" s="7"/>
      <c r="O38" s="1"/>
      <c r="P38" s="57"/>
      <c r="Q38" s="9"/>
      <c r="R38" s="51"/>
      <c r="S38" s="3"/>
      <c r="T38" s="9"/>
      <c r="U38" s="176"/>
      <c r="V38" s="3"/>
      <c r="W38" s="21"/>
      <c r="X38" s="21"/>
      <c r="Y38" s="3"/>
      <c r="Z38" s="21"/>
      <c r="AA38" s="6"/>
      <c r="AB38" s="3"/>
      <c r="AC38" s="9"/>
      <c r="AD38" s="9"/>
      <c r="AE38" s="177" t="s">
        <v>376</v>
      </c>
    </row>
    <row r="39" spans="1:31" s="12" customFormat="1" ht="21" customHeight="1">
      <c r="A39" s="8"/>
      <c r="B39" s="1"/>
      <c r="C39" s="108" t="s">
        <v>373</v>
      </c>
      <c r="D39" s="8"/>
      <c r="E39" s="187" t="s">
        <v>508</v>
      </c>
      <c r="F39" s="125" t="s">
        <v>507</v>
      </c>
      <c r="G39" s="14"/>
      <c r="H39" s="8"/>
      <c r="I39" s="8"/>
      <c r="J39" s="8"/>
      <c r="K39" s="37"/>
      <c r="L39" s="15"/>
      <c r="M39" s="8"/>
      <c r="N39" s="15"/>
      <c r="O39" s="8"/>
      <c r="P39" s="60"/>
      <c r="Q39" s="172">
        <f>SUM(Q35:Q37)</f>
        <v>3</v>
      </c>
      <c r="R39" s="52"/>
      <c r="S39" s="37">
        <f>SUM(S35:S37)</f>
        <v>1</v>
      </c>
      <c r="T39" s="172"/>
      <c r="U39" s="151">
        <f>SUM(U35:U37)</f>
        <v>1</v>
      </c>
      <c r="V39" s="37"/>
      <c r="W39" s="152">
        <f>calc!W430</f>
        <v>0</v>
      </c>
      <c r="X39" s="188">
        <f>calc!X430</f>
        <v>0</v>
      </c>
      <c r="Y39" s="37" t="s">
        <v>241</v>
      </c>
      <c r="Z39" s="152">
        <f>calc!Z430</f>
        <v>0</v>
      </c>
      <c r="AA39" s="153">
        <f>calc!AA430</f>
        <v>0</v>
      </c>
      <c r="AB39" s="37" t="s">
        <v>229</v>
      </c>
      <c r="AC39" s="9"/>
      <c r="AD39" s="9"/>
      <c r="AE39" s="178">
        <f>calc!AE430</f>
        <v>0</v>
      </c>
    </row>
    <row r="40" spans="3:31" s="12" customFormat="1" ht="21" customHeight="1">
      <c r="C40" s="44"/>
      <c r="G40" s="22"/>
      <c r="K40" s="45"/>
      <c r="L40" s="25"/>
      <c r="N40" s="25"/>
      <c r="P40" s="58"/>
      <c r="Q40" s="138"/>
      <c r="R40" s="56"/>
      <c r="S40" s="45"/>
      <c r="T40" s="138"/>
      <c r="U40" s="179"/>
      <c r="V40" s="45"/>
      <c r="W40" s="180"/>
      <c r="X40" s="180"/>
      <c r="Y40" s="45"/>
      <c r="Z40" s="180"/>
      <c r="AA40" s="181"/>
      <c r="AB40" s="45"/>
      <c r="AC40" s="138"/>
      <c r="AD40" s="138"/>
      <c r="AE40" s="181"/>
    </row>
    <row r="41" spans="3:31" ht="3" customHeight="1">
      <c r="C41" s="27"/>
      <c r="D41" s="27"/>
      <c r="E41" s="27"/>
      <c r="F41" s="27"/>
      <c r="G41" s="28"/>
      <c r="H41" s="27"/>
      <c r="I41" s="27"/>
      <c r="J41" s="27"/>
      <c r="K41" s="40"/>
      <c r="L41" s="29"/>
      <c r="M41" s="27"/>
      <c r="N41" s="29"/>
      <c r="O41" s="27"/>
      <c r="P41" s="62"/>
      <c r="Q41" s="182"/>
      <c r="R41" s="53"/>
      <c r="S41" s="40"/>
      <c r="T41" s="182"/>
      <c r="U41" s="183"/>
      <c r="V41" s="40"/>
      <c r="W41" s="184"/>
      <c r="X41" s="184"/>
      <c r="Y41" s="40"/>
      <c r="Z41" s="184"/>
      <c r="AA41" s="185"/>
      <c r="AB41" s="40"/>
      <c r="AC41" s="9"/>
      <c r="AD41" s="9"/>
      <c r="AE41" s="185"/>
    </row>
    <row r="42" spans="4:21" s="35" customFormat="1" ht="46.5" customHeight="1">
      <c r="D42" s="41" t="s">
        <v>395</v>
      </c>
      <c r="N42" s="50"/>
      <c r="S42" s="984"/>
      <c r="T42" s="984"/>
      <c r="U42" s="984"/>
    </row>
    <row r="43" spans="1:32" s="42" customFormat="1" ht="69.75" customHeight="1">
      <c r="A43" s="154"/>
      <c r="C43" s="191"/>
      <c r="D43" s="993" t="s">
        <v>451</v>
      </c>
      <c r="E43" s="993"/>
      <c r="F43" s="993"/>
      <c r="G43" s="993"/>
      <c r="H43" s="993"/>
      <c r="I43" s="993"/>
      <c r="J43" s="993"/>
      <c r="K43" s="993"/>
      <c r="L43" s="993"/>
      <c r="M43" s="993"/>
      <c r="N43" s="993"/>
      <c r="O43" s="993"/>
      <c r="P43" s="993"/>
      <c r="Q43" s="993"/>
      <c r="R43" s="993"/>
      <c r="S43" s="993"/>
      <c r="T43" s="993"/>
      <c r="U43" s="993"/>
      <c r="V43" s="993"/>
      <c r="W43" s="993"/>
      <c r="X43" s="993"/>
      <c r="Y43" s="993"/>
      <c r="Z43" s="993"/>
      <c r="AA43" s="993"/>
      <c r="AB43" s="993"/>
      <c r="AC43" s="993"/>
      <c r="AD43" s="993"/>
      <c r="AE43" s="993"/>
      <c r="AF43" s="155"/>
    </row>
    <row r="44" spans="1:32" s="38" customFormat="1" ht="12.75" customHeight="1">
      <c r="A44" s="156"/>
      <c r="C44" s="192"/>
      <c r="D44" s="192"/>
      <c r="E44" s="192"/>
      <c r="F44" s="192"/>
      <c r="G44" s="193"/>
      <c r="H44" s="192"/>
      <c r="I44" s="192"/>
      <c r="J44" s="192"/>
      <c r="K44" s="194"/>
      <c r="L44" s="195"/>
      <c r="M44" s="192"/>
      <c r="N44" s="195"/>
      <c r="O44" s="192"/>
      <c r="P44" s="192"/>
      <c r="Q44" s="192"/>
      <c r="R44" s="194"/>
      <c r="S44" s="193"/>
      <c r="T44" s="192"/>
      <c r="U44" s="196"/>
      <c r="V44" s="193"/>
      <c r="W44" s="197"/>
      <c r="X44" s="197"/>
      <c r="Y44" s="193"/>
      <c r="Z44" s="197"/>
      <c r="AA44" s="195"/>
      <c r="AB44" s="193"/>
      <c r="AC44" s="192"/>
      <c r="AD44" s="192"/>
      <c r="AE44" s="195"/>
      <c r="AF44" s="48"/>
    </row>
    <row r="45" spans="1:32" s="161" customFormat="1" ht="45" customHeight="1">
      <c r="A45" s="160"/>
      <c r="C45" s="198" t="s">
        <v>217</v>
      </c>
      <c r="D45" s="985" t="s">
        <v>131</v>
      </c>
      <c r="E45" s="985"/>
      <c r="F45" s="985"/>
      <c r="G45" s="985"/>
      <c r="H45" s="985"/>
      <c r="I45" s="985"/>
      <c r="J45" s="985"/>
      <c r="K45" s="985"/>
      <c r="L45" s="985"/>
      <c r="M45" s="985"/>
      <c r="N45" s="985"/>
      <c r="O45" s="985"/>
      <c r="P45" s="985"/>
      <c r="Q45" s="985"/>
      <c r="R45" s="985"/>
      <c r="S45" s="985"/>
      <c r="T45" s="985"/>
      <c r="U45" s="985"/>
      <c r="V45" s="985"/>
      <c r="W45" s="985"/>
      <c r="X45" s="985"/>
      <c r="Y45" s="985"/>
      <c r="Z45" s="985"/>
      <c r="AA45" s="985"/>
      <c r="AB45" s="985"/>
      <c r="AC45" s="985"/>
      <c r="AD45" s="985"/>
      <c r="AE45" s="985"/>
      <c r="AF45" s="49"/>
    </row>
    <row r="46" spans="1:32" s="161" customFormat="1" ht="45" customHeight="1">
      <c r="A46" s="160"/>
      <c r="C46" s="198"/>
      <c r="D46" s="985" t="s">
        <v>129</v>
      </c>
      <c r="E46" s="985"/>
      <c r="F46" s="985"/>
      <c r="G46" s="985"/>
      <c r="H46" s="985"/>
      <c r="I46" s="985"/>
      <c r="J46" s="985"/>
      <c r="K46" s="985"/>
      <c r="L46" s="985"/>
      <c r="M46" s="985"/>
      <c r="N46" s="985"/>
      <c r="O46" s="985"/>
      <c r="P46" s="985"/>
      <c r="Q46" s="985"/>
      <c r="R46" s="985"/>
      <c r="S46" s="985"/>
      <c r="T46" s="985"/>
      <c r="U46" s="985"/>
      <c r="V46" s="985"/>
      <c r="W46" s="985"/>
      <c r="X46" s="985"/>
      <c r="Y46" s="985"/>
      <c r="Z46" s="985"/>
      <c r="AA46" s="985"/>
      <c r="AB46" s="985"/>
      <c r="AC46" s="985"/>
      <c r="AD46" s="985"/>
      <c r="AE46" s="985"/>
      <c r="AF46" s="49"/>
    </row>
    <row r="47" spans="1:32" s="161" customFormat="1" ht="53.25" customHeight="1">
      <c r="A47" s="160"/>
      <c r="C47" s="198"/>
      <c r="D47" s="985" t="s">
        <v>565</v>
      </c>
      <c r="E47" s="985"/>
      <c r="F47" s="985"/>
      <c r="G47" s="985"/>
      <c r="H47" s="985"/>
      <c r="I47" s="985"/>
      <c r="J47" s="985"/>
      <c r="K47" s="985"/>
      <c r="L47" s="985"/>
      <c r="M47" s="985"/>
      <c r="N47" s="985"/>
      <c r="O47" s="985"/>
      <c r="P47" s="985"/>
      <c r="Q47" s="985"/>
      <c r="R47" s="985"/>
      <c r="S47" s="985"/>
      <c r="T47" s="985"/>
      <c r="U47" s="985"/>
      <c r="V47" s="985"/>
      <c r="W47" s="985"/>
      <c r="X47" s="985"/>
      <c r="Y47" s="985"/>
      <c r="Z47" s="985"/>
      <c r="AA47" s="985"/>
      <c r="AB47" s="985"/>
      <c r="AC47" s="985"/>
      <c r="AD47" s="985"/>
      <c r="AE47" s="985"/>
      <c r="AF47" s="49"/>
    </row>
    <row r="48" spans="1:32" s="161" customFormat="1" ht="45" customHeight="1">
      <c r="A48" s="160"/>
      <c r="C48" s="198"/>
      <c r="D48" s="985" t="s">
        <v>487</v>
      </c>
      <c r="E48" s="985"/>
      <c r="F48" s="985"/>
      <c r="G48" s="985"/>
      <c r="H48" s="985"/>
      <c r="I48" s="985"/>
      <c r="J48" s="985"/>
      <c r="K48" s="985"/>
      <c r="L48" s="985"/>
      <c r="M48" s="985"/>
      <c r="N48" s="985"/>
      <c r="O48" s="985"/>
      <c r="P48" s="985"/>
      <c r="Q48" s="985"/>
      <c r="R48" s="985"/>
      <c r="S48" s="985"/>
      <c r="T48" s="985"/>
      <c r="U48" s="985"/>
      <c r="V48" s="985"/>
      <c r="W48" s="985"/>
      <c r="X48" s="985"/>
      <c r="Y48" s="985"/>
      <c r="Z48" s="985"/>
      <c r="AA48" s="985"/>
      <c r="AB48" s="985"/>
      <c r="AC48" s="985"/>
      <c r="AD48" s="985"/>
      <c r="AE48" s="985"/>
      <c r="AF48" s="49"/>
    </row>
    <row r="49" spans="1:32" s="161" customFormat="1" ht="54" customHeight="1">
      <c r="A49" s="160"/>
      <c r="C49" s="198" t="s">
        <v>218</v>
      </c>
      <c r="D49" s="985" t="s">
        <v>531</v>
      </c>
      <c r="E49" s="985"/>
      <c r="F49" s="985"/>
      <c r="G49" s="985"/>
      <c r="H49" s="985"/>
      <c r="I49" s="985"/>
      <c r="J49" s="985"/>
      <c r="K49" s="985"/>
      <c r="L49" s="985"/>
      <c r="M49" s="985"/>
      <c r="N49" s="985"/>
      <c r="O49" s="985"/>
      <c r="P49" s="985"/>
      <c r="Q49" s="985"/>
      <c r="R49" s="985"/>
      <c r="S49" s="985"/>
      <c r="T49" s="985"/>
      <c r="U49" s="985"/>
      <c r="V49" s="985"/>
      <c r="W49" s="985"/>
      <c r="X49" s="985"/>
      <c r="Y49" s="985"/>
      <c r="Z49" s="985"/>
      <c r="AA49" s="985"/>
      <c r="AB49" s="985"/>
      <c r="AC49" s="985"/>
      <c r="AD49" s="985"/>
      <c r="AE49" s="985"/>
      <c r="AF49" s="49"/>
    </row>
    <row r="50" spans="1:32" s="161" customFormat="1" ht="45" customHeight="1">
      <c r="A50" s="160"/>
      <c r="C50" s="198"/>
      <c r="D50" s="985" t="s">
        <v>396</v>
      </c>
      <c r="E50" s="985"/>
      <c r="F50" s="985"/>
      <c r="G50" s="985"/>
      <c r="H50" s="985"/>
      <c r="I50" s="985"/>
      <c r="J50" s="985"/>
      <c r="K50" s="985"/>
      <c r="L50" s="985"/>
      <c r="M50" s="985"/>
      <c r="N50" s="985"/>
      <c r="O50" s="985"/>
      <c r="P50" s="985"/>
      <c r="Q50" s="985"/>
      <c r="R50" s="985"/>
      <c r="S50" s="985"/>
      <c r="T50" s="985"/>
      <c r="U50" s="985"/>
      <c r="V50" s="985"/>
      <c r="W50" s="985"/>
      <c r="X50" s="985"/>
      <c r="Y50" s="985"/>
      <c r="Z50" s="985"/>
      <c r="AA50" s="985"/>
      <c r="AB50" s="985"/>
      <c r="AC50" s="985"/>
      <c r="AD50" s="985"/>
      <c r="AE50" s="985"/>
      <c r="AF50" s="49"/>
    </row>
    <row r="51" spans="1:32" s="161" customFormat="1" ht="30" customHeight="1">
      <c r="A51" s="160"/>
      <c r="C51" s="198" t="s">
        <v>310</v>
      </c>
      <c r="D51" s="198" t="s">
        <v>397</v>
      </c>
      <c r="E51" s="198"/>
      <c r="F51" s="198"/>
      <c r="G51" s="199"/>
      <c r="H51" s="198"/>
      <c r="I51" s="198"/>
      <c r="J51" s="198"/>
      <c r="K51" s="200"/>
      <c r="L51" s="201"/>
      <c r="M51" s="198"/>
      <c r="N51" s="201"/>
      <c r="O51" s="198"/>
      <c r="P51" s="198"/>
      <c r="Q51" s="198"/>
      <c r="R51" s="200"/>
      <c r="S51" s="199"/>
      <c r="T51" s="198"/>
      <c r="U51" s="202"/>
      <c r="V51" s="199"/>
      <c r="W51" s="203"/>
      <c r="X51" s="203"/>
      <c r="Y51" s="199"/>
      <c r="Z51" s="203"/>
      <c r="AA51" s="201"/>
      <c r="AB51" s="199"/>
      <c r="AC51" s="198"/>
      <c r="AD51" s="198"/>
      <c r="AE51" s="201"/>
      <c r="AF51" s="49"/>
    </row>
    <row r="52" spans="1:32" s="161" customFormat="1" ht="30" customHeight="1">
      <c r="A52" s="160"/>
      <c r="C52" s="198"/>
      <c r="D52" s="198" t="s">
        <v>398</v>
      </c>
      <c r="E52" s="198" t="s">
        <v>196</v>
      </c>
      <c r="F52" s="198"/>
      <c r="G52" s="199"/>
      <c r="H52" s="198"/>
      <c r="I52" s="198"/>
      <c r="J52" s="198"/>
      <c r="K52" s="200"/>
      <c r="L52" s="201"/>
      <c r="M52" s="198"/>
      <c r="N52" s="201"/>
      <c r="O52" s="198"/>
      <c r="P52" s="198"/>
      <c r="Q52" s="198"/>
      <c r="R52" s="200"/>
      <c r="S52" s="199"/>
      <c r="T52" s="198"/>
      <c r="U52" s="204"/>
      <c r="V52" s="204"/>
      <c r="W52" s="203"/>
      <c r="X52" s="186">
        <f>U35</f>
        <v>0.15</v>
      </c>
      <c r="Y52" s="205" t="s">
        <v>174</v>
      </c>
      <c r="Z52" s="203"/>
      <c r="AA52" s="201"/>
      <c r="AB52" s="199"/>
      <c r="AC52" s="198"/>
      <c r="AD52" s="198"/>
      <c r="AE52" s="201"/>
      <c r="AF52" s="49"/>
    </row>
    <row r="53" spans="1:32" s="161" customFormat="1" ht="30" customHeight="1">
      <c r="A53" s="160"/>
      <c r="C53" s="198"/>
      <c r="D53" s="198"/>
      <c r="E53" s="198" t="s">
        <v>494</v>
      </c>
      <c r="F53" s="198"/>
      <c r="G53" s="199"/>
      <c r="H53" s="198"/>
      <c r="I53" s="198"/>
      <c r="J53" s="198"/>
      <c r="K53" s="200"/>
      <c r="L53" s="201"/>
      <c r="M53" s="198"/>
      <c r="N53" s="201"/>
      <c r="O53" s="198"/>
      <c r="P53" s="198"/>
      <c r="Q53" s="198"/>
      <c r="R53" s="200"/>
      <c r="S53" s="199"/>
      <c r="T53" s="198"/>
      <c r="U53" s="202"/>
      <c r="V53" s="199"/>
      <c r="W53" s="203"/>
      <c r="X53" s="203"/>
      <c r="Y53" s="199"/>
      <c r="Z53" s="203"/>
      <c r="AA53" s="201"/>
      <c r="AB53" s="199"/>
      <c r="AC53" s="198"/>
      <c r="AD53" s="198"/>
      <c r="AE53" s="201"/>
      <c r="AF53" s="49"/>
    </row>
    <row r="54" spans="1:32" s="161" customFormat="1" ht="30" customHeight="1">
      <c r="A54" s="160"/>
      <c r="C54" s="198"/>
      <c r="D54" s="198"/>
      <c r="E54" s="198" t="s">
        <v>195</v>
      </c>
      <c r="F54" s="198"/>
      <c r="G54" s="199"/>
      <c r="H54" s="198"/>
      <c r="I54" s="198"/>
      <c r="J54" s="198"/>
      <c r="K54" s="200"/>
      <c r="L54" s="201"/>
      <c r="M54" s="198"/>
      <c r="N54" s="201"/>
      <c r="O54" s="198"/>
      <c r="P54" s="198"/>
      <c r="Q54" s="198"/>
      <c r="R54" s="200"/>
      <c r="S54" s="199"/>
      <c r="T54" s="198"/>
      <c r="U54" s="202"/>
      <c r="V54" s="199"/>
      <c r="W54" s="203"/>
      <c r="X54" s="203"/>
      <c r="Y54" s="199"/>
      <c r="Z54" s="203"/>
      <c r="AA54" s="201"/>
      <c r="AB54" s="199"/>
      <c r="AC54" s="198"/>
      <c r="AD54" s="198"/>
      <c r="AE54" s="201"/>
      <c r="AF54" s="49"/>
    </row>
    <row r="55" spans="1:32" s="161" customFormat="1" ht="45" customHeight="1">
      <c r="A55" s="160"/>
      <c r="C55" s="198"/>
      <c r="D55" s="982" t="s">
        <v>130</v>
      </c>
      <c r="E55" s="982"/>
      <c r="F55" s="982"/>
      <c r="G55" s="982"/>
      <c r="H55" s="982"/>
      <c r="I55" s="982"/>
      <c r="J55" s="982"/>
      <c r="K55" s="982"/>
      <c r="L55" s="982"/>
      <c r="M55" s="982"/>
      <c r="N55" s="982"/>
      <c r="O55" s="982"/>
      <c r="P55" s="982"/>
      <c r="Q55" s="982"/>
      <c r="R55" s="982"/>
      <c r="S55" s="982"/>
      <c r="T55" s="982"/>
      <c r="U55" s="982"/>
      <c r="V55" s="982"/>
      <c r="W55" s="982"/>
      <c r="X55" s="982"/>
      <c r="Y55" s="982"/>
      <c r="Z55" s="982"/>
      <c r="AA55" s="982"/>
      <c r="AB55" s="982"/>
      <c r="AC55" s="982"/>
      <c r="AD55" s="982"/>
      <c r="AE55" s="982"/>
      <c r="AF55" s="49"/>
    </row>
    <row r="56" spans="1:32" s="161" customFormat="1" ht="30" customHeight="1">
      <c r="A56" s="160"/>
      <c r="C56" s="198"/>
      <c r="D56" s="198"/>
      <c r="E56" s="198"/>
      <c r="F56" s="983">
        <f>U36</f>
        <v>0.55</v>
      </c>
      <c r="G56" s="983"/>
      <c r="H56" s="983"/>
      <c r="I56" s="206" t="s">
        <v>427</v>
      </c>
      <c r="J56" s="198"/>
      <c r="K56" s="200"/>
      <c r="L56" s="201"/>
      <c r="M56" s="198"/>
      <c r="N56" s="201"/>
      <c r="O56" s="198"/>
      <c r="P56" s="198"/>
      <c r="Q56" s="198"/>
      <c r="R56" s="200"/>
      <c r="S56" s="199"/>
      <c r="T56" s="198"/>
      <c r="U56" s="202"/>
      <c r="V56" s="199"/>
      <c r="W56" s="203"/>
      <c r="X56" s="203"/>
      <c r="Y56" s="199"/>
      <c r="Z56" s="203"/>
      <c r="AA56" s="201"/>
      <c r="AB56" s="199"/>
      <c r="AC56" s="198"/>
      <c r="AD56" s="198"/>
      <c r="AE56" s="201"/>
      <c r="AF56" s="49"/>
    </row>
    <row r="57" spans="1:32" s="161" customFormat="1" ht="30" customHeight="1">
      <c r="A57" s="160"/>
      <c r="C57" s="198"/>
      <c r="D57" s="198" t="s">
        <v>399</v>
      </c>
      <c r="E57" s="198" t="s">
        <v>400</v>
      </c>
      <c r="F57" s="992">
        <f>U37</f>
        <v>0.29999999999999993</v>
      </c>
      <c r="G57" s="992"/>
      <c r="H57" s="992"/>
      <c r="I57" s="198" t="s">
        <v>493</v>
      </c>
      <c r="J57" s="198"/>
      <c r="K57" s="200"/>
      <c r="L57" s="201"/>
      <c r="M57" s="198"/>
      <c r="N57" s="201"/>
      <c r="O57" s="198"/>
      <c r="P57" s="198"/>
      <c r="Q57" s="198"/>
      <c r="R57" s="200"/>
      <c r="S57" s="199"/>
      <c r="T57" s="198"/>
      <c r="U57" s="202"/>
      <c r="V57" s="199"/>
      <c r="W57" s="203"/>
      <c r="X57" s="203"/>
      <c r="Y57" s="199"/>
      <c r="Z57" s="203"/>
      <c r="AA57" s="201"/>
      <c r="AB57" s="199"/>
      <c r="AC57" s="198"/>
      <c r="AD57" s="198"/>
      <c r="AE57" s="201"/>
      <c r="AF57" s="49"/>
    </row>
    <row r="58" spans="1:32" s="161" customFormat="1" ht="30" customHeight="1">
      <c r="A58" s="160"/>
      <c r="C58" s="198"/>
      <c r="D58" s="198"/>
      <c r="E58" s="198" t="s">
        <v>401</v>
      </c>
      <c r="F58" s="198"/>
      <c r="G58" s="199"/>
      <c r="H58" s="198"/>
      <c r="I58" s="198"/>
      <c r="J58" s="198"/>
      <c r="K58" s="200"/>
      <c r="L58" s="201"/>
      <c r="M58" s="198"/>
      <c r="N58" s="201"/>
      <c r="O58" s="198"/>
      <c r="P58" s="198"/>
      <c r="Q58" s="198"/>
      <c r="R58" s="200"/>
      <c r="S58" s="199"/>
      <c r="T58" s="198"/>
      <c r="U58" s="202"/>
      <c r="V58" s="199"/>
      <c r="W58" s="203"/>
      <c r="X58" s="203"/>
      <c r="Y58" s="199"/>
      <c r="Z58" s="203"/>
      <c r="AA58" s="201"/>
      <c r="AB58" s="199"/>
      <c r="AC58" s="198"/>
      <c r="AD58" s="198"/>
      <c r="AE58" s="201"/>
      <c r="AF58" s="49"/>
    </row>
    <row r="59" spans="1:32" s="161" customFormat="1" ht="30" customHeight="1">
      <c r="A59" s="160"/>
      <c r="C59" s="198"/>
      <c r="D59" s="198"/>
      <c r="E59" s="198" t="s">
        <v>566</v>
      </c>
      <c r="F59" s="198"/>
      <c r="G59" s="199"/>
      <c r="H59" s="198"/>
      <c r="I59" s="198"/>
      <c r="J59" s="198"/>
      <c r="K59" s="200"/>
      <c r="L59" s="201"/>
      <c r="M59" s="198"/>
      <c r="N59" s="204"/>
      <c r="O59" s="198"/>
      <c r="P59" s="198"/>
      <c r="Q59" s="198"/>
      <c r="R59" s="200"/>
      <c r="S59" s="204"/>
      <c r="T59" s="204"/>
      <c r="U59" s="204"/>
      <c r="V59" s="204"/>
      <c r="W59" s="186">
        <f>U37</f>
        <v>0.29999999999999993</v>
      </c>
      <c r="X59" s="204"/>
      <c r="Y59" s="204"/>
      <c r="Z59" s="204"/>
      <c r="AA59" s="204"/>
      <c r="AB59" s="199"/>
      <c r="AC59" s="198"/>
      <c r="AD59" s="198"/>
      <c r="AE59" s="201"/>
      <c r="AF59" s="49"/>
    </row>
    <row r="60" spans="1:32" s="161" customFormat="1" ht="30" customHeight="1">
      <c r="A60" s="160"/>
      <c r="C60" s="204"/>
      <c r="D60" s="204"/>
      <c r="E60" s="204"/>
      <c r="F60" s="207" t="s">
        <v>567</v>
      </c>
      <c r="G60" s="202"/>
      <c r="H60" s="199"/>
      <c r="I60" s="203"/>
      <c r="J60" s="203"/>
      <c r="K60" s="199"/>
      <c r="L60" s="204"/>
      <c r="M60" s="204"/>
      <c r="N60" s="204"/>
      <c r="O60" s="204"/>
      <c r="P60" s="204"/>
      <c r="Q60" s="204"/>
      <c r="R60" s="204"/>
      <c r="S60" s="204"/>
      <c r="T60" s="204"/>
      <c r="U60" s="204"/>
      <c r="V60" s="204"/>
      <c r="W60" s="186">
        <f>F56</f>
        <v>0.55</v>
      </c>
      <c r="X60" s="201" t="s">
        <v>402</v>
      </c>
      <c r="Y60" s="204"/>
      <c r="Z60" s="204"/>
      <c r="AA60" s="204"/>
      <c r="AB60" s="204"/>
      <c r="AC60" s="204"/>
      <c r="AD60" s="204"/>
      <c r="AE60" s="204"/>
      <c r="AF60" s="49"/>
    </row>
    <row r="61" spans="1:32" s="38" customFormat="1" ht="70.5" customHeight="1">
      <c r="A61" s="156"/>
      <c r="C61" s="198" t="s">
        <v>311</v>
      </c>
      <c r="D61" s="985" t="s">
        <v>192</v>
      </c>
      <c r="E61" s="985"/>
      <c r="F61" s="985"/>
      <c r="G61" s="985"/>
      <c r="H61" s="985"/>
      <c r="I61" s="985"/>
      <c r="J61" s="985"/>
      <c r="K61" s="985"/>
      <c r="L61" s="985"/>
      <c r="M61" s="985"/>
      <c r="N61" s="985"/>
      <c r="O61" s="985"/>
      <c r="P61" s="985"/>
      <c r="Q61" s="985"/>
      <c r="R61" s="985"/>
      <c r="S61" s="985"/>
      <c r="T61" s="985"/>
      <c r="U61" s="985"/>
      <c r="V61" s="985"/>
      <c r="W61" s="985"/>
      <c r="X61" s="985"/>
      <c r="Y61" s="985"/>
      <c r="Z61" s="985"/>
      <c r="AA61" s="985"/>
      <c r="AB61" s="985"/>
      <c r="AC61" s="985"/>
      <c r="AD61" s="985"/>
      <c r="AE61" s="985"/>
      <c r="AF61" s="48"/>
    </row>
    <row r="62" spans="1:32" s="38" customFormat="1" ht="92.25" customHeight="1">
      <c r="A62" s="156"/>
      <c r="C62" s="198" t="s">
        <v>312</v>
      </c>
      <c r="D62" s="985" t="s">
        <v>428</v>
      </c>
      <c r="E62" s="985"/>
      <c r="F62" s="985"/>
      <c r="G62" s="985"/>
      <c r="H62" s="985"/>
      <c r="I62" s="985"/>
      <c r="J62" s="985"/>
      <c r="K62" s="985"/>
      <c r="L62" s="985"/>
      <c r="M62" s="985"/>
      <c r="N62" s="985"/>
      <c r="O62" s="985"/>
      <c r="P62" s="985"/>
      <c r="Q62" s="985"/>
      <c r="R62" s="985"/>
      <c r="S62" s="985"/>
      <c r="T62" s="985"/>
      <c r="U62" s="985"/>
      <c r="V62" s="985"/>
      <c r="W62" s="985"/>
      <c r="X62" s="985"/>
      <c r="Y62" s="985"/>
      <c r="Z62" s="985"/>
      <c r="AA62" s="985"/>
      <c r="AB62" s="985"/>
      <c r="AC62" s="985"/>
      <c r="AD62" s="985"/>
      <c r="AE62" s="985"/>
      <c r="AF62" s="48"/>
    </row>
    <row r="63" spans="1:32" s="38" customFormat="1" ht="19.5" customHeight="1">
      <c r="A63" s="156"/>
      <c r="C63" s="198" t="s">
        <v>314</v>
      </c>
      <c r="D63" s="208" t="s">
        <v>403</v>
      </c>
      <c r="E63" s="198"/>
      <c r="F63" s="198"/>
      <c r="G63" s="199"/>
      <c r="H63" s="198"/>
      <c r="I63" s="198"/>
      <c r="J63" s="198"/>
      <c r="K63" s="200"/>
      <c r="L63" s="201"/>
      <c r="M63" s="198"/>
      <c r="N63" s="209"/>
      <c r="O63" s="198"/>
      <c r="P63" s="198"/>
      <c r="Q63" s="198"/>
      <c r="R63" s="200"/>
      <c r="S63" s="199"/>
      <c r="T63" s="198"/>
      <c r="U63" s="202"/>
      <c r="V63" s="199"/>
      <c r="W63" s="203"/>
      <c r="X63" s="203"/>
      <c r="Y63" s="199"/>
      <c r="Z63" s="209"/>
      <c r="AA63" s="201"/>
      <c r="AB63" s="199"/>
      <c r="AC63" s="198"/>
      <c r="AD63" s="198"/>
      <c r="AE63" s="201"/>
      <c r="AF63" s="48"/>
    </row>
    <row r="64" spans="1:32" s="38" customFormat="1" ht="74.25" customHeight="1">
      <c r="A64" s="156"/>
      <c r="C64" s="198"/>
      <c r="D64" s="985" t="s">
        <v>431</v>
      </c>
      <c r="E64" s="985"/>
      <c r="F64" s="985"/>
      <c r="G64" s="985"/>
      <c r="H64" s="985"/>
      <c r="I64" s="985"/>
      <c r="J64" s="985"/>
      <c r="K64" s="985"/>
      <c r="L64" s="985"/>
      <c r="M64" s="985"/>
      <c r="N64" s="985"/>
      <c r="O64" s="985"/>
      <c r="P64" s="985"/>
      <c r="Q64" s="985"/>
      <c r="R64" s="985"/>
      <c r="S64" s="985"/>
      <c r="T64" s="985"/>
      <c r="U64" s="985"/>
      <c r="V64" s="985"/>
      <c r="W64" s="985"/>
      <c r="X64" s="985"/>
      <c r="Y64" s="985"/>
      <c r="Z64" s="985"/>
      <c r="AA64" s="985"/>
      <c r="AB64" s="985"/>
      <c r="AC64" s="985"/>
      <c r="AD64" s="985"/>
      <c r="AE64" s="985"/>
      <c r="AF64" s="48"/>
    </row>
    <row r="65" spans="1:32" s="38" customFormat="1" ht="19.5" customHeight="1">
      <c r="A65" s="156"/>
      <c r="C65" s="192"/>
      <c r="D65" s="192" t="s">
        <v>198</v>
      </c>
      <c r="E65" s="192"/>
      <c r="F65" s="192"/>
      <c r="G65" s="193"/>
      <c r="H65" s="192"/>
      <c r="I65" s="192"/>
      <c r="J65" s="192"/>
      <c r="K65" s="194"/>
      <c r="L65" s="195"/>
      <c r="M65" s="192"/>
      <c r="N65" s="195"/>
      <c r="O65" s="192"/>
      <c r="P65" s="192"/>
      <c r="Q65" s="192"/>
      <c r="R65" s="194"/>
      <c r="S65" s="193"/>
      <c r="T65" s="192"/>
      <c r="U65" s="210"/>
      <c r="V65" s="210"/>
      <c r="W65" s="225">
        <f>F56</f>
        <v>0.55</v>
      </c>
      <c r="X65" s="193" t="s">
        <v>197</v>
      </c>
      <c r="Y65" s="193"/>
      <c r="Z65" s="197"/>
      <c r="AA65" s="195"/>
      <c r="AB65" s="193"/>
      <c r="AC65" s="192"/>
      <c r="AD65" s="192"/>
      <c r="AE65" s="195"/>
      <c r="AF65" s="48"/>
    </row>
    <row r="66" spans="1:32" s="38" customFormat="1" ht="19.5" customHeight="1">
      <c r="A66" s="156"/>
      <c r="C66" s="192"/>
      <c r="D66" s="192"/>
      <c r="E66" s="192"/>
      <c r="F66" s="192"/>
      <c r="G66" s="193"/>
      <c r="H66" s="192"/>
      <c r="I66" s="192"/>
      <c r="J66" s="192"/>
      <c r="K66" s="194"/>
      <c r="L66" s="195"/>
      <c r="M66" s="192"/>
      <c r="N66" s="210"/>
      <c r="O66" s="192"/>
      <c r="P66" s="210"/>
      <c r="Q66" s="193" t="s">
        <v>197</v>
      </c>
      <c r="R66" s="194"/>
      <c r="S66" s="210"/>
      <c r="T66" s="192"/>
      <c r="U66" s="225">
        <f>W59</f>
        <v>0.29999999999999993</v>
      </c>
      <c r="V66" s="211" t="s">
        <v>199</v>
      </c>
      <c r="W66" s="210"/>
      <c r="X66" s="210"/>
      <c r="Y66" s="193"/>
      <c r="Z66" s="197"/>
      <c r="AA66" s="195"/>
      <c r="AB66" s="193"/>
      <c r="AC66" s="192"/>
      <c r="AD66" s="192"/>
      <c r="AE66" s="195"/>
      <c r="AF66" s="48"/>
    </row>
    <row r="67" spans="1:30" s="38" customFormat="1" ht="19.5" customHeight="1">
      <c r="A67" s="156"/>
      <c r="C67" s="192" t="s">
        <v>316</v>
      </c>
      <c r="D67" s="192" t="s">
        <v>492</v>
      </c>
      <c r="E67" s="192"/>
      <c r="F67" s="192"/>
      <c r="G67" s="193"/>
      <c r="H67" s="192"/>
      <c r="I67" s="192"/>
      <c r="J67" s="192"/>
      <c r="K67" s="194"/>
      <c r="L67" s="195"/>
      <c r="M67" s="192"/>
      <c r="N67" s="195"/>
      <c r="O67" s="192"/>
      <c r="P67" s="192"/>
      <c r="Q67" s="192"/>
      <c r="R67" s="194"/>
      <c r="S67" s="193"/>
      <c r="T67" s="210"/>
      <c r="U67" s="210"/>
      <c r="V67" s="210"/>
      <c r="Y67" s="212" t="s">
        <v>491</v>
      </c>
      <c r="Z67" s="224">
        <f>F56</f>
        <v>0.55</v>
      </c>
      <c r="AA67" s="224">
        <f>W59</f>
        <v>0.29999999999999993</v>
      </c>
      <c r="AB67" s="48" t="s">
        <v>132</v>
      </c>
      <c r="AC67" s="192"/>
      <c r="AD67" s="192"/>
    </row>
    <row r="68" spans="1:32" s="38" customFormat="1" ht="19.5" customHeight="1">
      <c r="A68" s="156"/>
      <c r="C68" s="198"/>
      <c r="D68" s="198" t="s">
        <v>429</v>
      </c>
      <c r="E68" s="198"/>
      <c r="F68" s="198"/>
      <c r="G68" s="199"/>
      <c r="H68" s="198"/>
      <c r="I68" s="198"/>
      <c r="J68" s="198"/>
      <c r="K68" s="200"/>
      <c r="L68" s="201"/>
      <c r="M68" s="198"/>
      <c r="N68" s="201"/>
      <c r="O68" s="198"/>
      <c r="P68" s="198"/>
      <c r="Q68" s="198"/>
      <c r="R68" s="200"/>
      <c r="S68" s="199"/>
      <c r="T68" s="198"/>
      <c r="U68" s="202"/>
      <c r="V68" s="199"/>
      <c r="W68" s="203"/>
      <c r="X68" s="203"/>
      <c r="Y68" s="199"/>
      <c r="Z68" s="203"/>
      <c r="AA68" s="201"/>
      <c r="AB68" s="199"/>
      <c r="AC68" s="198"/>
      <c r="AD68" s="198"/>
      <c r="AE68" s="201"/>
      <c r="AF68" s="48"/>
    </row>
    <row r="69" spans="1:32" s="38" customFormat="1" ht="63.75" customHeight="1">
      <c r="A69" s="156"/>
      <c r="C69" s="198"/>
      <c r="D69" s="985" t="s">
        <v>430</v>
      </c>
      <c r="E69" s="985"/>
      <c r="F69" s="985"/>
      <c r="G69" s="985"/>
      <c r="H69" s="985"/>
      <c r="I69" s="985"/>
      <c r="J69" s="985"/>
      <c r="K69" s="985"/>
      <c r="L69" s="985"/>
      <c r="M69" s="985"/>
      <c r="N69" s="985"/>
      <c r="O69" s="985"/>
      <c r="P69" s="985"/>
      <c r="Q69" s="985"/>
      <c r="R69" s="985"/>
      <c r="S69" s="985"/>
      <c r="T69" s="985"/>
      <c r="U69" s="985"/>
      <c r="V69" s="985"/>
      <c r="W69" s="985"/>
      <c r="X69" s="985"/>
      <c r="Y69" s="985"/>
      <c r="Z69" s="985"/>
      <c r="AA69" s="985"/>
      <c r="AB69" s="985"/>
      <c r="AC69" s="985"/>
      <c r="AD69" s="985"/>
      <c r="AE69" s="985"/>
      <c r="AF69" s="48"/>
    </row>
    <row r="70" spans="1:32" s="38" customFormat="1" ht="63" customHeight="1">
      <c r="A70" s="156"/>
      <c r="C70" s="198" t="s">
        <v>327</v>
      </c>
      <c r="D70" s="985" t="s">
        <v>432</v>
      </c>
      <c r="E70" s="985"/>
      <c r="F70" s="985"/>
      <c r="G70" s="985"/>
      <c r="H70" s="985"/>
      <c r="I70" s="985"/>
      <c r="J70" s="985"/>
      <c r="K70" s="985"/>
      <c r="L70" s="985"/>
      <c r="M70" s="985"/>
      <c r="N70" s="985"/>
      <c r="O70" s="985"/>
      <c r="P70" s="985"/>
      <c r="Q70" s="985"/>
      <c r="R70" s="985"/>
      <c r="S70" s="985"/>
      <c r="T70" s="985"/>
      <c r="U70" s="985"/>
      <c r="V70" s="985"/>
      <c r="W70" s="985"/>
      <c r="X70" s="985"/>
      <c r="Y70" s="985"/>
      <c r="Z70" s="985"/>
      <c r="AA70" s="985"/>
      <c r="AB70" s="985"/>
      <c r="AC70" s="985"/>
      <c r="AD70" s="985"/>
      <c r="AE70" s="985"/>
      <c r="AF70" s="48"/>
    </row>
    <row r="71" spans="1:32" s="38" customFormat="1" ht="43.5" customHeight="1">
      <c r="A71" s="156"/>
      <c r="C71" s="198"/>
      <c r="D71" s="982" t="s">
        <v>139</v>
      </c>
      <c r="E71" s="982"/>
      <c r="F71" s="982"/>
      <c r="G71" s="982"/>
      <c r="H71" s="982"/>
      <c r="I71" s="982"/>
      <c r="J71" s="982"/>
      <c r="K71" s="982"/>
      <c r="L71" s="982"/>
      <c r="M71" s="982"/>
      <c r="N71" s="982"/>
      <c r="O71" s="982"/>
      <c r="P71" s="982"/>
      <c r="Q71" s="982"/>
      <c r="R71" s="982"/>
      <c r="S71" s="982"/>
      <c r="T71" s="982"/>
      <c r="U71" s="982"/>
      <c r="V71" s="982"/>
      <c r="W71" s="982"/>
      <c r="X71" s="982"/>
      <c r="Y71" s="982"/>
      <c r="Z71" s="982"/>
      <c r="AA71" s="982"/>
      <c r="AB71" s="982"/>
      <c r="AC71" s="982"/>
      <c r="AD71" s="982"/>
      <c r="AE71" s="982"/>
      <c r="AF71" s="48"/>
    </row>
    <row r="72" spans="1:32" s="38" customFormat="1" ht="43.5" customHeight="1">
      <c r="A72" s="156"/>
      <c r="C72" s="198" t="s">
        <v>329</v>
      </c>
      <c r="D72" s="982" t="s">
        <v>404</v>
      </c>
      <c r="E72" s="982"/>
      <c r="F72" s="982"/>
      <c r="G72" s="982"/>
      <c r="H72" s="982"/>
      <c r="I72" s="982"/>
      <c r="J72" s="982"/>
      <c r="K72" s="982"/>
      <c r="L72" s="982"/>
      <c r="M72" s="982"/>
      <c r="N72" s="982"/>
      <c r="O72" s="982"/>
      <c r="P72" s="982"/>
      <c r="Q72" s="982"/>
      <c r="R72" s="982"/>
      <c r="S72" s="982"/>
      <c r="T72" s="982"/>
      <c r="U72" s="982"/>
      <c r="V72" s="982"/>
      <c r="W72" s="982"/>
      <c r="X72" s="982"/>
      <c r="Y72" s="982"/>
      <c r="Z72" s="982"/>
      <c r="AA72" s="982"/>
      <c r="AB72" s="982"/>
      <c r="AC72" s="982"/>
      <c r="AD72" s="982"/>
      <c r="AE72" s="982"/>
      <c r="AF72" s="48"/>
    </row>
    <row r="73" spans="1:32" s="38" customFormat="1" ht="43.5" customHeight="1">
      <c r="A73" s="156"/>
      <c r="C73" s="198"/>
      <c r="D73" s="982" t="s">
        <v>194</v>
      </c>
      <c r="E73" s="982"/>
      <c r="F73" s="982"/>
      <c r="G73" s="982"/>
      <c r="H73" s="982"/>
      <c r="I73" s="982"/>
      <c r="J73" s="982"/>
      <c r="K73" s="982"/>
      <c r="L73" s="982"/>
      <c r="M73" s="982"/>
      <c r="N73" s="982"/>
      <c r="O73" s="982"/>
      <c r="P73" s="982"/>
      <c r="Q73" s="982"/>
      <c r="R73" s="982"/>
      <c r="S73" s="982"/>
      <c r="T73" s="982"/>
      <c r="U73" s="982"/>
      <c r="V73" s="982"/>
      <c r="W73" s="982"/>
      <c r="X73" s="982"/>
      <c r="Y73" s="982"/>
      <c r="Z73" s="982"/>
      <c r="AA73" s="982"/>
      <c r="AB73" s="982"/>
      <c r="AC73" s="982"/>
      <c r="AD73" s="982"/>
      <c r="AE73" s="982"/>
      <c r="AF73" s="48"/>
    </row>
    <row r="74" spans="1:32" s="158" customFormat="1" ht="19.5" customHeight="1">
      <c r="A74" s="157"/>
      <c r="C74" s="213"/>
      <c r="D74" s="213" t="s">
        <v>200</v>
      </c>
      <c r="E74" s="213"/>
      <c r="F74" s="214"/>
      <c r="G74" s="215"/>
      <c r="H74" s="986">
        <v>20</v>
      </c>
      <c r="I74" s="986"/>
      <c r="J74" s="216" t="s">
        <v>201</v>
      </c>
      <c r="K74" s="214"/>
      <c r="L74" s="213" t="s">
        <v>202</v>
      </c>
      <c r="M74" s="213"/>
      <c r="N74" s="211" t="s">
        <v>133</v>
      </c>
      <c r="O74" s="213"/>
      <c r="P74" s="213"/>
      <c r="Q74" s="213"/>
      <c r="R74" s="217"/>
      <c r="S74" s="213"/>
      <c r="T74" s="213"/>
      <c r="U74" s="218"/>
      <c r="V74" s="213"/>
      <c r="W74" s="211"/>
      <c r="X74" s="211"/>
      <c r="Y74" s="213"/>
      <c r="Z74" s="211"/>
      <c r="AA74" s="211"/>
      <c r="AB74" s="213"/>
      <c r="AC74" s="213"/>
      <c r="AD74" s="213"/>
      <c r="AE74" s="211"/>
      <c r="AF74" s="107"/>
    </row>
    <row r="75" spans="1:32" s="38" customFormat="1" ht="19.5" customHeight="1">
      <c r="A75" s="156"/>
      <c r="C75" s="198"/>
      <c r="D75" s="198" t="s">
        <v>134</v>
      </c>
      <c r="E75" s="198"/>
      <c r="F75" s="198"/>
      <c r="G75" s="199"/>
      <c r="H75" s="198"/>
      <c r="I75" s="198"/>
      <c r="J75" s="198"/>
      <c r="K75" s="200"/>
      <c r="L75" s="201"/>
      <c r="M75" s="198"/>
      <c r="N75" s="201"/>
      <c r="O75" s="198"/>
      <c r="P75" s="198"/>
      <c r="Q75" s="198"/>
      <c r="R75" s="200"/>
      <c r="S75" s="199"/>
      <c r="T75" s="198"/>
      <c r="U75" s="202"/>
      <c r="V75" s="199"/>
      <c r="W75" s="203"/>
      <c r="X75" s="203"/>
      <c r="Y75" s="199"/>
      <c r="Z75" s="203"/>
      <c r="AA75" s="201"/>
      <c r="AB75" s="199"/>
      <c r="AC75" s="198"/>
      <c r="AD75" s="198"/>
      <c r="AE75" s="201"/>
      <c r="AF75" s="48"/>
    </row>
    <row r="76" spans="3:31" s="159" customFormat="1" ht="62.25" customHeight="1">
      <c r="C76" s="219"/>
      <c r="D76" s="220" t="s">
        <v>405</v>
      </c>
      <c r="E76" s="219"/>
      <c r="F76" s="219"/>
      <c r="G76" s="219"/>
      <c r="H76" s="219"/>
      <c r="I76" s="219"/>
      <c r="J76" s="219"/>
      <c r="K76" s="219"/>
      <c r="L76" s="219"/>
      <c r="M76" s="219"/>
      <c r="N76" s="219"/>
      <c r="O76" s="219"/>
      <c r="P76" s="219"/>
      <c r="Q76" s="219"/>
      <c r="R76" s="221"/>
      <c r="S76" s="219"/>
      <c r="T76" s="219"/>
      <c r="U76" s="222"/>
      <c r="V76" s="219"/>
      <c r="W76" s="219"/>
      <c r="X76" s="219"/>
      <c r="Y76" s="219"/>
      <c r="Z76" s="219"/>
      <c r="AA76" s="219"/>
      <c r="AB76" s="223"/>
      <c r="AC76" s="219"/>
      <c r="AD76" s="219"/>
      <c r="AE76" s="219"/>
    </row>
    <row r="77" spans="1:32" s="38" customFormat="1" ht="45" customHeight="1">
      <c r="A77" s="156"/>
      <c r="C77" s="198" t="s">
        <v>346</v>
      </c>
      <c r="D77" s="982" t="s">
        <v>433</v>
      </c>
      <c r="E77" s="982"/>
      <c r="F77" s="982"/>
      <c r="G77" s="982"/>
      <c r="H77" s="982"/>
      <c r="I77" s="982"/>
      <c r="J77" s="982"/>
      <c r="K77" s="982"/>
      <c r="L77" s="982"/>
      <c r="M77" s="982"/>
      <c r="N77" s="982"/>
      <c r="O77" s="982"/>
      <c r="P77" s="982"/>
      <c r="Q77" s="982"/>
      <c r="R77" s="982"/>
      <c r="S77" s="982"/>
      <c r="T77" s="982"/>
      <c r="U77" s="982"/>
      <c r="V77" s="982"/>
      <c r="W77" s="982"/>
      <c r="X77" s="982"/>
      <c r="Y77" s="982"/>
      <c r="Z77" s="982"/>
      <c r="AA77" s="982"/>
      <c r="AB77" s="982"/>
      <c r="AC77" s="982"/>
      <c r="AD77" s="982"/>
      <c r="AE77" s="982"/>
      <c r="AF77" s="48"/>
    </row>
    <row r="78" spans="1:32" s="38" customFormat="1" ht="24.75" customHeight="1">
      <c r="A78" s="156"/>
      <c r="C78" s="198" t="s">
        <v>406</v>
      </c>
      <c r="D78" s="982" t="s">
        <v>407</v>
      </c>
      <c r="E78" s="982"/>
      <c r="F78" s="982"/>
      <c r="G78" s="982"/>
      <c r="H78" s="982"/>
      <c r="I78" s="982"/>
      <c r="J78" s="982"/>
      <c r="K78" s="982"/>
      <c r="L78" s="982"/>
      <c r="M78" s="982"/>
      <c r="N78" s="982"/>
      <c r="O78" s="982"/>
      <c r="P78" s="982"/>
      <c r="Q78" s="982"/>
      <c r="R78" s="982"/>
      <c r="S78" s="982"/>
      <c r="T78" s="982"/>
      <c r="U78" s="982"/>
      <c r="V78" s="982"/>
      <c r="W78" s="982"/>
      <c r="X78" s="982"/>
      <c r="Y78" s="982"/>
      <c r="Z78" s="982"/>
      <c r="AA78" s="982"/>
      <c r="AB78" s="982"/>
      <c r="AC78" s="982"/>
      <c r="AD78" s="982"/>
      <c r="AE78" s="982"/>
      <c r="AF78" s="48"/>
    </row>
    <row r="79" spans="1:32" s="38" customFormat="1" ht="45" customHeight="1">
      <c r="A79" s="156"/>
      <c r="C79" s="198" t="s">
        <v>408</v>
      </c>
      <c r="D79" s="982" t="s">
        <v>434</v>
      </c>
      <c r="E79" s="982"/>
      <c r="F79" s="982"/>
      <c r="G79" s="982"/>
      <c r="H79" s="982"/>
      <c r="I79" s="982"/>
      <c r="J79" s="982"/>
      <c r="K79" s="982"/>
      <c r="L79" s="982"/>
      <c r="M79" s="982"/>
      <c r="N79" s="982"/>
      <c r="O79" s="982"/>
      <c r="P79" s="982"/>
      <c r="Q79" s="982"/>
      <c r="R79" s="982"/>
      <c r="S79" s="982"/>
      <c r="T79" s="982"/>
      <c r="U79" s="982"/>
      <c r="V79" s="982"/>
      <c r="W79" s="982"/>
      <c r="X79" s="982"/>
      <c r="Y79" s="982"/>
      <c r="Z79" s="982"/>
      <c r="AA79" s="982"/>
      <c r="AB79" s="982"/>
      <c r="AC79" s="982"/>
      <c r="AD79" s="982"/>
      <c r="AE79" s="982"/>
      <c r="AF79" s="48"/>
    </row>
    <row r="80" spans="1:32" s="38" customFormat="1" ht="75.75" customHeight="1">
      <c r="A80" s="156"/>
      <c r="C80" s="198" t="s">
        <v>409</v>
      </c>
      <c r="D80" s="982" t="s">
        <v>467</v>
      </c>
      <c r="E80" s="982"/>
      <c r="F80" s="982"/>
      <c r="G80" s="982"/>
      <c r="H80" s="982"/>
      <c r="I80" s="982"/>
      <c r="J80" s="982"/>
      <c r="K80" s="982"/>
      <c r="L80" s="982"/>
      <c r="M80" s="982"/>
      <c r="N80" s="982"/>
      <c r="O80" s="982"/>
      <c r="P80" s="982"/>
      <c r="Q80" s="982"/>
      <c r="R80" s="982"/>
      <c r="S80" s="982"/>
      <c r="T80" s="982"/>
      <c r="U80" s="982"/>
      <c r="V80" s="982"/>
      <c r="W80" s="982"/>
      <c r="X80" s="982"/>
      <c r="Y80" s="982"/>
      <c r="Z80" s="982"/>
      <c r="AA80" s="982"/>
      <c r="AB80" s="982"/>
      <c r="AC80" s="982"/>
      <c r="AD80" s="982"/>
      <c r="AE80" s="982"/>
      <c r="AF80" s="48"/>
    </row>
    <row r="81" spans="1:32" s="38" customFormat="1" ht="69.75" customHeight="1">
      <c r="A81" s="156"/>
      <c r="C81" s="198" t="s">
        <v>410</v>
      </c>
      <c r="D81" s="982" t="s">
        <v>135</v>
      </c>
      <c r="E81" s="982"/>
      <c r="F81" s="982"/>
      <c r="G81" s="982"/>
      <c r="H81" s="982"/>
      <c r="I81" s="982"/>
      <c r="J81" s="982"/>
      <c r="K81" s="982"/>
      <c r="L81" s="982"/>
      <c r="M81" s="982"/>
      <c r="N81" s="982"/>
      <c r="O81" s="982"/>
      <c r="P81" s="982"/>
      <c r="Q81" s="982"/>
      <c r="R81" s="982"/>
      <c r="S81" s="982"/>
      <c r="T81" s="982"/>
      <c r="U81" s="982"/>
      <c r="V81" s="982"/>
      <c r="W81" s="982"/>
      <c r="X81" s="982"/>
      <c r="Y81" s="982"/>
      <c r="Z81" s="982"/>
      <c r="AA81" s="982"/>
      <c r="AB81" s="982"/>
      <c r="AC81" s="982"/>
      <c r="AD81" s="982"/>
      <c r="AE81" s="982"/>
      <c r="AF81" s="48"/>
    </row>
    <row r="82" spans="1:32" s="38" customFormat="1" ht="45" customHeight="1">
      <c r="A82" s="156"/>
      <c r="C82" s="198"/>
      <c r="D82" s="982" t="s">
        <v>136</v>
      </c>
      <c r="E82" s="982"/>
      <c r="F82" s="982"/>
      <c r="G82" s="982"/>
      <c r="H82" s="982"/>
      <c r="I82" s="982"/>
      <c r="J82" s="982"/>
      <c r="K82" s="982"/>
      <c r="L82" s="982"/>
      <c r="M82" s="982"/>
      <c r="N82" s="982"/>
      <c r="O82" s="982"/>
      <c r="P82" s="982"/>
      <c r="Q82" s="982"/>
      <c r="R82" s="982"/>
      <c r="S82" s="982"/>
      <c r="T82" s="982"/>
      <c r="U82" s="982"/>
      <c r="V82" s="982"/>
      <c r="W82" s="982"/>
      <c r="X82" s="982"/>
      <c r="Y82" s="982"/>
      <c r="Z82" s="982"/>
      <c r="AA82" s="982"/>
      <c r="AB82" s="982"/>
      <c r="AC82" s="982"/>
      <c r="AD82" s="982"/>
      <c r="AE82" s="982"/>
      <c r="AF82" s="48"/>
    </row>
    <row r="83" spans="1:32" s="38" customFormat="1" ht="12.75" customHeight="1">
      <c r="A83" s="156"/>
      <c r="C83" s="192"/>
      <c r="D83" s="192"/>
      <c r="E83" s="192"/>
      <c r="F83" s="192"/>
      <c r="G83" s="193"/>
      <c r="H83" s="192"/>
      <c r="I83" s="192"/>
      <c r="J83" s="192"/>
      <c r="K83" s="194"/>
      <c r="L83" s="195"/>
      <c r="M83" s="192"/>
      <c r="N83" s="195"/>
      <c r="O83" s="192"/>
      <c r="P83" s="192"/>
      <c r="Q83" s="192"/>
      <c r="R83" s="194"/>
      <c r="S83" s="193"/>
      <c r="T83" s="192"/>
      <c r="U83" s="196"/>
      <c r="V83" s="193"/>
      <c r="W83" s="197"/>
      <c r="X83" s="197"/>
      <c r="Y83" s="193"/>
      <c r="Z83" s="197"/>
      <c r="AA83" s="195"/>
      <c r="AB83" s="193"/>
      <c r="AC83" s="192"/>
      <c r="AD83" s="192"/>
      <c r="AE83" s="195"/>
      <c r="AF83" s="48"/>
    </row>
    <row r="84" spans="1:32" s="38" customFormat="1" ht="12.75" customHeight="1">
      <c r="A84" s="156"/>
      <c r="C84" s="192"/>
      <c r="D84" s="192"/>
      <c r="E84" s="192"/>
      <c r="F84" s="192"/>
      <c r="G84" s="193"/>
      <c r="H84" s="192"/>
      <c r="I84" s="192"/>
      <c r="J84" s="192"/>
      <c r="K84" s="194"/>
      <c r="L84" s="195"/>
      <c r="M84" s="192"/>
      <c r="N84" s="195"/>
      <c r="O84" s="192"/>
      <c r="P84" s="192"/>
      <c r="Q84" s="192"/>
      <c r="R84" s="194"/>
      <c r="S84" s="193"/>
      <c r="T84" s="192"/>
      <c r="U84" s="196"/>
      <c r="V84" s="193"/>
      <c r="W84" s="197"/>
      <c r="X84" s="197"/>
      <c r="Y84" s="193"/>
      <c r="Z84" s="197"/>
      <c r="AA84" s="195"/>
      <c r="AB84" s="193"/>
      <c r="AC84" s="192"/>
      <c r="AD84" s="192"/>
      <c r="AE84" s="195"/>
      <c r="AF84" s="48"/>
    </row>
    <row r="85" spans="1:32" s="38" customFormat="1" ht="46.5" customHeight="1">
      <c r="A85" s="156"/>
      <c r="C85" s="198" t="s">
        <v>411</v>
      </c>
      <c r="D85" s="982" t="s">
        <v>412</v>
      </c>
      <c r="E85" s="982"/>
      <c r="F85" s="982"/>
      <c r="G85" s="982"/>
      <c r="H85" s="982"/>
      <c r="I85" s="982"/>
      <c r="J85" s="982"/>
      <c r="K85" s="982"/>
      <c r="L85" s="982"/>
      <c r="M85" s="982"/>
      <c r="N85" s="982"/>
      <c r="O85" s="982"/>
      <c r="P85" s="982"/>
      <c r="Q85" s="982"/>
      <c r="R85" s="982"/>
      <c r="S85" s="982"/>
      <c r="T85" s="982"/>
      <c r="U85" s="982"/>
      <c r="V85" s="982"/>
      <c r="W85" s="982"/>
      <c r="X85" s="982"/>
      <c r="Y85" s="982"/>
      <c r="Z85" s="982"/>
      <c r="AA85" s="982"/>
      <c r="AB85" s="982"/>
      <c r="AC85" s="982"/>
      <c r="AD85" s="982"/>
      <c r="AE85" s="982"/>
      <c r="AF85" s="48"/>
    </row>
    <row r="86" spans="3:31" ht="19.5" customHeight="1">
      <c r="C86" s="996" t="s">
        <v>380</v>
      </c>
      <c r="D86" s="996"/>
      <c r="E86" s="970"/>
      <c r="F86" s="970"/>
      <c r="G86" s="970"/>
      <c r="H86" s="970"/>
      <c r="I86" s="970"/>
      <c r="J86" s="970"/>
      <c r="K86" s="970"/>
      <c r="L86" s="970"/>
      <c r="M86" s="970"/>
      <c r="N86" s="970"/>
      <c r="U86" s="969" t="s">
        <v>413</v>
      </c>
      <c r="V86" s="969"/>
      <c r="W86" s="995"/>
      <c r="X86" s="995"/>
      <c r="Y86" s="995"/>
      <c r="Z86" s="995"/>
      <c r="AA86" s="995"/>
      <c r="AB86" s="995"/>
      <c r="AC86" s="995"/>
      <c r="AD86" s="995"/>
      <c r="AE86" s="995"/>
    </row>
    <row r="87" spans="3:31" ht="19.5" customHeight="1">
      <c r="C87" s="964"/>
      <c r="D87" s="964"/>
      <c r="E87" s="970"/>
      <c r="F87" s="970"/>
      <c r="G87" s="970"/>
      <c r="H87" s="970"/>
      <c r="I87" s="970"/>
      <c r="J87" s="970"/>
      <c r="K87" s="970"/>
      <c r="L87" s="970"/>
      <c r="M87" s="970"/>
      <c r="N87" s="970"/>
      <c r="U87" s="969" t="s">
        <v>414</v>
      </c>
      <c r="V87" s="969"/>
      <c r="W87" s="995"/>
      <c r="X87" s="995"/>
      <c r="Y87" s="995"/>
      <c r="Z87" s="995"/>
      <c r="AA87" s="995"/>
      <c r="AB87" s="995"/>
      <c r="AC87" s="995"/>
      <c r="AD87" s="995"/>
      <c r="AE87" s="995"/>
    </row>
    <row r="88" spans="3:22" ht="4.5" customHeight="1">
      <c r="C88" s="81"/>
      <c r="D88" s="81"/>
      <c r="E88" s="66"/>
      <c r="F88" s="66"/>
      <c r="G88" s="32"/>
      <c r="H88" s="66"/>
      <c r="I88" s="66"/>
      <c r="J88" s="66"/>
      <c r="K88" s="67"/>
      <c r="L88" s="68"/>
      <c r="M88" s="66"/>
      <c r="N88" s="68"/>
      <c r="U88" s="103"/>
      <c r="V88" s="88"/>
    </row>
    <row r="89" spans="3:31" ht="19.5" customHeight="1">
      <c r="C89" s="996" t="s">
        <v>459</v>
      </c>
      <c r="D89" s="996"/>
      <c r="E89" s="59"/>
      <c r="F89" s="996" t="s">
        <v>386</v>
      </c>
      <c r="G89" s="996"/>
      <c r="H89" s="965"/>
      <c r="I89" s="965"/>
      <c r="J89" s="965"/>
      <c r="K89" s="965"/>
      <c r="L89" s="965"/>
      <c r="M89" s="965"/>
      <c r="N89" s="965"/>
      <c r="U89" s="969" t="s">
        <v>415</v>
      </c>
      <c r="V89" s="1006"/>
      <c r="W89" s="961"/>
      <c r="X89" s="960"/>
      <c r="Y89" s="960"/>
      <c r="Z89" s="960"/>
      <c r="AA89" s="960"/>
      <c r="AB89" s="960"/>
      <c r="AC89" s="960"/>
      <c r="AD89" s="960"/>
      <c r="AE89" s="867"/>
    </row>
    <row r="90" spans="3:31" ht="19.5" customHeight="1">
      <c r="C90" s="996" t="s">
        <v>416</v>
      </c>
      <c r="D90" s="996"/>
      <c r="E90" s="970"/>
      <c r="F90" s="970"/>
      <c r="G90" s="970"/>
      <c r="H90" s="970"/>
      <c r="I90" s="970"/>
      <c r="J90" s="970"/>
      <c r="K90" s="970"/>
      <c r="L90" s="970"/>
      <c r="M90" s="970"/>
      <c r="N90" s="970"/>
      <c r="V90" s="82"/>
      <c r="W90" s="1000"/>
      <c r="X90" s="1001"/>
      <c r="Y90" s="1001"/>
      <c r="Z90" s="1001"/>
      <c r="AA90" s="1001"/>
      <c r="AB90" s="1001"/>
      <c r="AC90" s="1001"/>
      <c r="AD90" s="1001"/>
      <c r="AE90" s="1002"/>
    </row>
    <row r="91" spans="3:31" ht="19.5" customHeight="1">
      <c r="C91" s="996" t="s">
        <v>417</v>
      </c>
      <c r="D91" s="996"/>
      <c r="E91" s="970"/>
      <c r="F91" s="970"/>
      <c r="G91" s="970"/>
      <c r="H91" s="970"/>
      <c r="I91" s="970"/>
      <c r="J91" s="970"/>
      <c r="K91" s="970"/>
      <c r="L91" s="970"/>
      <c r="M91" s="970"/>
      <c r="N91" s="970"/>
      <c r="V91" s="82"/>
      <c r="W91" s="1000"/>
      <c r="X91" s="1001"/>
      <c r="Y91" s="1001"/>
      <c r="Z91" s="1001"/>
      <c r="AA91" s="1001"/>
      <c r="AB91" s="1001"/>
      <c r="AC91" s="1001"/>
      <c r="AD91" s="1001"/>
      <c r="AE91" s="1002"/>
    </row>
    <row r="92" spans="3:31" ht="4.5" customHeight="1">
      <c r="C92" s="81"/>
      <c r="D92" s="81"/>
      <c r="E92" s="66"/>
      <c r="F92" s="66"/>
      <c r="G92" s="32"/>
      <c r="H92" s="66"/>
      <c r="I92" s="66"/>
      <c r="J92" s="66"/>
      <c r="K92" s="67"/>
      <c r="L92" s="68"/>
      <c r="M92" s="66"/>
      <c r="N92" s="68"/>
      <c r="V92" s="82"/>
      <c r="W92" s="1000"/>
      <c r="X92" s="1001"/>
      <c r="Y92" s="1001"/>
      <c r="Z92" s="1001"/>
      <c r="AA92" s="1001"/>
      <c r="AB92" s="1001"/>
      <c r="AC92" s="1001"/>
      <c r="AD92" s="1001"/>
      <c r="AE92" s="1002"/>
    </row>
    <row r="93" spans="3:31" ht="19.5" customHeight="1">
      <c r="C93" s="996" t="s">
        <v>460</v>
      </c>
      <c r="D93" s="996"/>
      <c r="E93" s="59"/>
      <c r="F93" s="996" t="s">
        <v>386</v>
      </c>
      <c r="G93" s="996"/>
      <c r="H93" s="970"/>
      <c r="I93" s="970"/>
      <c r="J93" s="970"/>
      <c r="K93" s="970"/>
      <c r="L93" s="970"/>
      <c r="M93" s="970"/>
      <c r="N93" s="970"/>
      <c r="V93" s="82"/>
      <c r="W93" s="1000"/>
      <c r="X93" s="1001"/>
      <c r="Y93" s="1001"/>
      <c r="Z93" s="1001"/>
      <c r="AA93" s="1001"/>
      <c r="AB93" s="1001"/>
      <c r="AC93" s="1001"/>
      <c r="AD93" s="1001"/>
      <c r="AE93" s="1002"/>
    </row>
    <row r="94" spans="3:31" ht="19.5" customHeight="1">
      <c r="C94" s="996" t="s">
        <v>416</v>
      </c>
      <c r="D94" s="996"/>
      <c r="E94" s="970"/>
      <c r="F94" s="970"/>
      <c r="G94" s="970"/>
      <c r="H94" s="970"/>
      <c r="I94" s="970"/>
      <c r="J94" s="970"/>
      <c r="K94" s="970"/>
      <c r="L94" s="970"/>
      <c r="M94" s="970"/>
      <c r="N94" s="970"/>
      <c r="V94" s="82"/>
      <c r="W94" s="1000"/>
      <c r="X94" s="1001"/>
      <c r="Y94" s="1001"/>
      <c r="Z94" s="1001"/>
      <c r="AA94" s="1001"/>
      <c r="AB94" s="1001"/>
      <c r="AC94" s="1001"/>
      <c r="AD94" s="1001"/>
      <c r="AE94" s="1002"/>
    </row>
    <row r="95" spans="3:31" ht="19.5" customHeight="1">
      <c r="C95" s="996" t="s">
        <v>417</v>
      </c>
      <c r="D95" s="996"/>
      <c r="E95" s="970"/>
      <c r="F95" s="970"/>
      <c r="G95" s="970"/>
      <c r="H95" s="970"/>
      <c r="I95" s="970"/>
      <c r="J95" s="970"/>
      <c r="K95" s="970"/>
      <c r="L95" s="970"/>
      <c r="M95" s="970"/>
      <c r="N95" s="970"/>
      <c r="V95" s="82"/>
      <c r="W95" s="1003"/>
      <c r="X95" s="1004"/>
      <c r="Y95" s="1004"/>
      <c r="Z95" s="1004"/>
      <c r="AA95" s="1004"/>
      <c r="AB95" s="1004"/>
      <c r="AC95" s="1004"/>
      <c r="AD95" s="1004"/>
      <c r="AE95" s="1005"/>
    </row>
    <row r="96" ht="51" customHeight="1"/>
    <row r="97" spans="3:19" ht="12.75" customHeight="1">
      <c r="C97" s="10"/>
      <c r="D97" s="5"/>
      <c r="E97" s="5"/>
      <c r="F97" s="5"/>
      <c r="G97" s="83"/>
      <c r="H97" s="83"/>
      <c r="I97" s="83"/>
      <c r="J97" s="5"/>
      <c r="K97" s="84"/>
      <c r="L97" s="84"/>
      <c r="M97" s="84"/>
      <c r="N97" s="84"/>
      <c r="O97" s="5"/>
      <c r="P97" s="61"/>
      <c r="Q97" s="85"/>
      <c r="R97" s="85"/>
      <c r="S97" s="85"/>
    </row>
    <row r="98" spans="3:31" ht="17.25" customHeight="1">
      <c r="C98" s="170" t="s">
        <v>418</v>
      </c>
      <c r="D98" s="169"/>
      <c r="E98" s="169" t="s">
        <v>419</v>
      </c>
      <c r="F98" s="169">
        <v>20</v>
      </c>
      <c r="G98" s="963" t="s">
        <v>727</v>
      </c>
      <c r="H98" s="963"/>
      <c r="I98" s="963"/>
      <c r="J98" s="169" t="s">
        <v>462</v>
      </c>
      <c r="K98" s="1007"/>
      <c r="L98" s="1007"/>
      <c r="M98" s="1007"/>
      <c r="N98" s="1007"/>
      <c r="O98" s="962" t="s">
        <v>461</v>
      </c>
      <c r="P98" s="962"/>
      <c r="Q98" s="962"/>
      <c r="R98" s="963"/>
      <c r="S98" s="963"/>
      <c r="T98" s="963"/>
      <c r="U98" s="102"/>
      <c r="V98" s="32"/>
      <c r="W98" s="171"/>
      <c r="X98" s="171"/>
      <c r="Y98" s="32"/>
      <c r="Z98" s="171"/>
      <c r="AA98" s="33"/>
      <c r="AB98" s="32"/>
      <c r="AC98" s="31"/>
      <c r="AD98" s="31"/>
      <c r="AE98" s="33"/>
    </row>
    <row r="99" spans="1:31" s="80" customFormat="1" ht="60" customHeight="1">
      <c r="A99" s="87"/>
      <c r="G99" s="88"/>
      <c r="K99" s="89"/>
      <c r="L99" s="90"/>
      <c r="N99" s="90"/>
      <c r="R99" s="89"/>
      <c r="S99" s="88"/>
      <c r="U99" s="103"/>
      <c r="V99" s="88"/>
      <c r="W99" s="91"/>
      <c r="X99" s="91" t="s">
        <v>468</v>
      </c>
      <c r="Y99" s="88"/>
      <c r="Z99" s="91"/>
      <c r="AA99" s="90"/>
      <c r="AB99" s="88"/>
      <c r="AE99" s="90"/>
    </row>
    <row r="100" ht="12.75" customHeight="1"/>
    <row r="101" spans="1:31" s="93" customFormat="1" ht="15.75" customHeight="1">
      <c r="A101" s="92"/>
      <c r="G101" s="94"/>
      <c r="J101" s="93" t="s">
        <v>420</v>
      </c>
      <c r="K101" s="95"/>
      <c r="L101" s="96"/>
      <c r="N101" s="96"/>
      <c r="R101" s="95"/>
      <c r="S101" s="94"/>
      <c r="U101" s="104"/>
      <c r="V101" s="94"/>
      <c r="W101" s="97"/>
      <c r="X101" s="97" t="s">
        <v>193</v>
      </c>
      <c r="Y101" s="94"/>
      <c r="Z101" s="97"/>
      <c r="AA101" s="96"/>
      <c r="AB101" s="94"/>
      <c r="AE101" s="96"/>
    </row>
    <row r="102" ht="66" customHeight="1"/>
    <row r="103" spans="3:31" ht="59.25" customHeight="1">
      <c r="C103" s="86" t="s">
        <v>421</v>
      </c>
      <c r="D103" s="98" t="s">
        <v>422</v>
      </c>
      <c r="E103" s="18"/>
      <c r="F103" s="994" t="s">
        <v>137</v>
      </c>
      <c r="G103" s="994"/>
      <c r="H103" s="994"/>
      <c r="I103" s="994"/>
      <c r="J103" s="994"/>
      <c r="K103" s="994"/>
      <c r="L103" s="994"/>
      <c r="M103" s="994"/>
      <c r="N103" s="994"/>
      <c r="O103" s="994"/>
      <c r="P103" s="994"/>
      <c r="Q103" s="994"/>
      <c r="R103" s="994"/>
      <c r="S103" s="994"/>
      <c r="T103" s="994"/>
      <c r="U103" s="994"/>
      <c r="V103" s="994"/>
      <c r="W103" s="994"/>
      <c r="X103" s="994"/>
      <c r="Y103" s="994"/>
      <c r="Z103" s="994"/>
      <c r="AA103" s="994"/>
      <c r="AB103" s="994"/>
      <c r="AC103" s="994"/>
      <c r="AD103" s="994"/>
      <c r="AE103" s="994"/>
    </row>
    <row r="104" spans="6:31" ht="41.25" customHeight="1">
      <c r="F104" s="994" t="s">
        <v>138</v>
      </c>
      <c r="G104" s="994"/>
      <c r="H104" s="994"/>
      <c r="I104" s="994"/>
      <c r="J104" s="994"/>
      <c r="K104" s="994"/>
      <c r="L104" s="994"/>
      <c r="M104" s="994"/>
      <c r="N104" s="994"/>
      <c r="O104" s="994"/>
      <c r="P104" s="994"/>
      <c r="Q104" s="994"/>
      <c r="R104" s="994"/>
      <c r="S104" s="994"/>
      <c r="T104" s="994"/>
      <c r="U104" s="994"/>
      <c r="V104" s="994"/>
      <c r="W104" s="994"/>
      <c r="X104" s="994"/>
      <c r="Y104" s="994"/>
      <c r="Z104" s="994"/>
      <c r="AA104" s="994"/>
      <c r="AB104" s="994"/>
      <c r="AC104" s="994"/>
      <c r="AD104" s="994"/>
      <c r="AE104" s="994"/>
    </row>
    <row r="105" ht="12.75" customHeight="1">
      <c r="N105" s="126" t="s">
        <v>423</v>
      </c>
    </row>
    <row r="106" spans="1:31" s="18" customFormat="1" ht="18" customHeight="1">
      <c r="A106" s="20"/>
      <c r="C106" s="46"/>
      <c r="G106" s="16"/>
      <c r="K106" s="47"/>
      <c r="L106" s="7"/>
      <c r="M106" s="1"/>
      <c r="N106" s="127" t="s">
        <v>524</v>
      </c>
      <c r="R106" s="55"/>
      <c r="S106" s="16"/>
      <c r="U106" s="105"/>
      <c r="V106" s="16"/>
      <c r="W106" s="19"/>
      <c r="X106" s="19"/>
      <c r="Y106" s="16"/>
      <c r="Z106" s="19"/>
      <c r="AA106" s="17"/>
      <c r="AB106" s="16"/>
      <c r="AE106" s="17"/>
    </row>
    <row r="107" spans="1:32" ht="16.5" customHeight="1" hidden="1">
      <c r="A107" s="133"/>
      <c r="B107" s="133"/>
      <c r="C107" s="132"/>
      <c r="D107" s="133"/>
      <c r="E107" s="148"/>
      <c r="F107" s="133"/>
      <c r="G107" s="134"/>
      <c r="H107" s="133"/>
      <c r="I107" s="133"/>
      <c r="J107" s="133"/>
      <c r="K107" s="135"/>
      <c r="L107" s="128"/>
      <c r="M107" s="133"/>
      <c r="N107" s="128"/>
      <c r="O107" s="133"/>
      <c r="P107" s="131"/>
      <c r="Q107" s="133"/>
      <c r="R107" s="54"/>
      <c r="S107" s="134"/>
      <c r="T107" s="133"/>
      <c r="U107" s="149"/>
      <c r="V107" s="134"/>
      <c r="W107" s="136"/>
      <c r="X107" s="136"/>
      <c r="Y107" s="134"/>
      <c r="Z107" s="136"/>
      <c r="AA107" s="128"/>
      <c r="AB107" s="134"/>
      <c r="AC107" s="133"/>
      <c r="AD107" s="133"/>
      <c r="AE107" s="128"/>
      <c r="AF107" s="133"/>
    </row>
    <row r="108" spans="1:32" ht="16.5" customHeight="1" hidden="1">
      <c r="A108" s="133"/>
      <c r="B108" s="133"/>
      <c r="C108" s="132"/>
      <c r="D108" s="133"/>
      <c r="E108" s="148"/>
      <c r="F108" s="150"/>
      <c r="G108" s="134"/>
      <c r="H108" s="133"/>
      <c r="I108" s="133"/>
      <c r="J108" s="133"/>
      <c r="K108" s="135"/>
      <c r="L108" s="128"/>
      <c r="M108" s="133"/>
      <c r="N108" s="128"/>
      <c r="O108" s="133"/>
      <c r="P108" s="131"/>
      <c r="Q108" s="133"/>
      <c r="R108" s="54"/>
      <c r="S108" s="134"/>
      <c r="T108" s="133"/>
      <c r="U108" s="149"/>
      <c r="V108" s="134"/>
      <c r="W108" s="136"/>
      <c r="X108" s="136"/>
      <c r="Y108" s="134"/>
      <c r="Z108" s="136"/>
      <c r="AA108" s="128"/>
      <c r="AB108" s="134"/>
      <c r="AC108" s="133"/>
      <c r="AD108" s="133"/>
      <c r="AE108" s="128"/>
      <c r="AF108" s="133"/>
    </row>
    <row r="109" spans="1:32" ht="12.75" customHeight="1" hidden="1">
      <c r="A109" s="133"/>
      <c r="B109" s="133"/>
      <c r="C109" s="132"/>
      <c r="D109" s="133"/>
      <c r="E109" s="133"/>
      <c r="F109" s="133"/>
      <c r="G109" s="134"/>
      <c r="H109" s="133"/>
      <c r="I109" s="133"/>
      <c r="J109" s="133"/>
      <c r="K109" s="135"/>
      <c r="L109" s="128"/>
      <c r="M109" s="133"/>
      <c r="N109" s="128"/>
      <c r="O109" s="133"/>
      <c r="P109" s="131"/>
      <c r="Q109" s="133"/>
      <c r="R109" s="54"/>
      <c r="S109" s="134"/>
      <c r="T109" s="133"/>
      <c r="U109" s="149"/>
      <c r="V109" s="134"/>
      <c r="W109" s="136"/>
      <c r="X109" s="136"/>
      <c r="Y109" s="134"/>
      <c r="Z109" s="136"/>
      <c r="AA109" s="128"/>
      <c r="AB109" s="134"/>
      <c r="AC109" s="133"/>
      <c r="AD109" s="133"/>
      <c r="AE109" s="128"/>
      <c r="AF109" s="133"/>
    </row>
    <row r="110" spans="1:32" ht="12.75" customHeight="1" hidden="1">
      <c r="A110" s="133"/>
      <c r="B110" s="133"/>
      <c r="C110" s="132"/>
      <c r="D110" s="133"/>
      <c r="E110" s="133"/>
      <c r="F110" s="133"/>
      <c r="G110" s="134"/>
      <c r="H110" s="133"/>
      <c r="I110" s="133"/>
      <c r="J110" s="133"/>
      <c r="K110" s="135"/>
      <c r="L110" s="128"/>
      <c r="M110" s="133"/>
      <c r="N110" s="128"/>
      <c r="O110" s="133"/>
      <c r="P110" s="131"/>
      <c r="Q110" s="133"/>
      <c r="R110" s="54"/>
      <c r="S110" s="134"/>
      <c r="T110" s="133"/>
      <c r="U110" s="149"/>
      <c r="V110" s="134"/>
      <c r="W110" s="136"/>
      <c r="X110" s="136"/>
      <c r="Y110" s="134"/>
      <c r="Z110" s="136"/>
      <c r="AA110" s="128"/>
      <c r="AB110" s="134"/>
      <c r="AC110" s="133"/>
      <c r="AD110" s="133"/>
      <c r="AE110" s="128"/>
      <c r="AF110" s="133"/>
    </row>
    <row r="111" spans="1:32" ht="12.75" customHeight="1" hidden="1">
      <c r="A111" s="133"/>
      <c r="B111" s="133"/>
      <c r="C111" s="132"/>
      <c r="D111" s="133"/>
      <c r="E111" s="133"/>
      <c r="F111" s="133"/>
      <c r="G111" s="134"/>
      <c r="H111" s="133"/>
      <c r="I111" s="133"/>
      <c r="J111" s="133"/>
      <c r="K111" s="135"/>
      <c r="L111" s="128"/>
      <c r="M111" s="133"/>
      <c r="N111" s="128"/>
      <c r="O111" s="133"/>
      <c r="P111" s="131"/>
      <c r="Q111" s="133"/>
      <c r="R111" s="54"/>
      <c r="S111" s="134"/>
      <c r="T111" s="133"/>
      <c r="U111" s="149"/>
      <c r="V111" s="134"/>
      <c r="W111" s="136"/>
      <c r="X111" s="136"/>
      <c r="Y111" s="134"/>
      <c r="Z111" s="136"/>
      <c r="AA111" s="128"/>
      <c r="AB111" s="134"/>
      <c r="AC111" s="133"/>
      <c r="AD111" s="133"/>
      <c r="AE111" s="128"/>
      <c r="AF111" s="133"/>
    </row>
    <row r="112" spans="1:32" ht="16.5" customHeight="1" hidden="1">
      <c r="A112" s="133"/>
      <c r="B112" s="133"/>
      <c r="C112" s="132"/>
      <c r="D112" s="133"/>
      <c r="E112" s="133"/>
      <c r="F112" s="150"/>
      <c r="G112" s="134"/>
      <c r="H112" s="133"/>
      <c r="I112" s="133"/>
      <c r="J112" s="133"/>
      <c r="K112" s="135"/>
      <c r="L112" s="128"/>
      <c r="M112" s="133"/>
      <c r="N112" s="128"/>
      <c r="O112" s="133"/>
      <c r="P112" s="131"/>
      <c r="Q112" s="133"/>
      <c r="R112" s="54"/>
      <c r="S112" s="134"/>
      <c r="T112" s="133"/>
      <c r="U112" s="149"/>
      <c r="V112" s="134"/>
      <c r="W112" s="136"/>
      <c r="X112" s="136"/>
      <c r="Y112" s="134"/>
      <c r="Z112" s="136"/>
      <c r="AA112" s="128"/>
      <c r="AB112" s="134"/>
      <c r="AC112" s="133"/>
      <c r="AD112" s="133"/>
      <c r="AE112" s="128"/>
      <c r="AF112" s="133"/>
    </row>
    <row r="113" spans="1:32" ht="12.75" customHeight="1" hidden="1">
      <c r="A113" s="133"/>
      <c r="B113" s="133"/>
      <c r="C113" s="132"/>
      <c r="D113" s="133"/>
      <c r="E113" s="133"/>
      <c r="F113" s="133"/>
      <c r="G113" s="134"/>
      <c r="H113" s="133"/>
      <c r="I113" s="133"/>
      <c r="J113" s="133"/>
      <c r="K113" s="135"/>
      <c r="L113" s="128"/>
      <c r="M113" s="133"/>
      <c r="N113" s="128"/>
      <c r="O113" s="133"/>
      <c r="P113" s="131"/>
      <c r="Q113" s="133"/>
      <c r="R113" s="54"/>
      <c r="S113" s="134"/>
      <c r="T113" s="133"/>
      <c r="U113" s="149"/>
      <c r="V113" s="134"/>
      <c r="W113" s="136"/>
      <c r="X113" s="136"/>
      <c r="Y113" s="134"/>
      <c r="Z113" s="136"/>
      <c r="AA113" s="128"/>
      <c r="AB113" s="134"/>
      <c r="AC113" s="133"/>
      <c r="AD113" s="133"/>
      <c r="AE113" s="128"/>
      <c r="AF113" s="133"/>
    </row>
    <row r="114" spans="1:32" ht="12.75" customHeight="1" hidden="1">
      <c r="A114" s="133"/>
      <c r="B114" s="133"/>
      <c r="C114" s="132"/>
      <c r="D114" s="133"/>
      <c r="E114" s="133"/>
      <c r="F114" s="133"/>
      <c r="G114" s="134"/>
      <c r="H114" s="133"/>
      <c r="I114" s="133"/>
      <c r="J114" s="133"/>
      <c r="K114" s="135"/>
      <c r="L114" s="128"/>
      <c r="M114" s="133"/>
      <c r="N114" s="128"/>
      <c r="O114" s="133"/>
      <c r="P114" s="131"/>
      <c r="Q114" s="133"/>
      <c r="R114" s="54"/>
      <c r="S114" s="134"/>
      <c r="T114" s="133"/>
      <c r="U114" s="149"/>
      <c r="V114" s="134"/>
      <c r="W114" s="136"/>
      <c r="X114" s="136"/>
      <c r="Y114" s="134"/>
      <c r="Z114" s="136"/>
      <c r="AA114" s="128"/>
      <c r="AB114" s="134"/>
      <c r="AC114" s="133"/>
      <c r="AD114" s="133"/>
      <c r="AE114" s="128"/>
      <c r="AF114" s="133"/>
    </row>
    <row r="115" spans="1:32" ht="12.75" customHeight="1" hidden="1">
      <c r="A115" s="133"/>
      <c r="B115" s="133"/>
      <c r="C115" s="132"/>
      <c r="D115" s="133"/>
      <c r="E115" s="133"/>
      <c r="F115" s="133"/>
      <c r="G115" s="134"/>
      <c r="H115" s="133"/>
      <c r="I115" s="133"/>
      <c r="J115" s="133"/>
      <c r="K115" s="135"/>
      <c r="L115" s="128"/>
      <c r="M115" s="133"/>
      <c r="N115" s="128"/>
      <c r="O115" s="133"/>
      <c r="P115" s="131"/>
      <c r="Q115" s="133"/>
      <c r="R115" s="54"/>
      <c r="S115" s="134"/>
      <c r="T115" s="133"/>
      <c r="U115" s="149"/>
      <c r="V115" s="134"/>
      <c r="W115" s="136"/>
      <c r="X115" s="136"/>
      <c r="Y115" s="134"/>
      <c r="Z115" s="136"/>
      <c r="AA115" s="128"/>
      <c r="AB115" s="134"/>
      <c r="AC115" s="133"/>
      <c r="AD115" s="133"/>
      <c r="AE115" s="128"/>
      <c r="AF115" s="133"/>
    </row>
    <row r="116" spans="1:32" ht="12.75" customHeight="1" hidden="1">
      <c r="A116" s="133"/>
      <c r="B116" s="133"/>
      <c r="C116" s="132"/>
      <c r="D116" s="133"/>
      <c r="E116" s="133"/>
      <c r="F116" s="133"/>
      <c r="G116" s="134"/>
      <c r="H116" s="133"/>
      <c r="I116" s="133"/>
      <c r="J116" s="133"/>
      <c r="K116" s="135"/>
      <c r="L116" s="128"/>
      <c r="M116" s="133"/>
      <c r="N116" s="128"/>
      <c r="O116" s="133"/>
      <c r="P116" s="131"/>
      <c r="Q116" s="133"/>
      <c r="R116" s="54"/>
      <c r="S116" s="134"/>
      <c r="T116" s="133"/>
      <c r="U116" s="149"/>
      <c r="V116" s="134"/>
      <c r="W116" s="136"/>
      <c r="X116" s="136"/>
      <c r="Y116" s="134"/>
      <c r="Z116" s="136"/>
      <c r="AA116" s="128"/>
      <c r="AB116" s="134"/>
      <c r="AC116" s="133"/>
      <c r="AD116" s="133"/>
      <c r="AE116" s="128"/>
      <c r="AF116" s="133"/>
    </row>
    <row r="117" spans="1:32" ht="12.75" customHeight="1" hidden="1">
      <c r="A117" s="133"/>
      <c r="B117" s="133"/>
      <c r="C117" s="132"/>
      <c r="D117" s="133"/>
      <c r="E117" s="133"/>
      <c r="F117" s="133"/>
      <c r="G117" s="134"/>
      <c r="H117" s="133"/>
      <c r="I117" s="133"/>
      <c r="J117" s="133"/>
      <c r="K117" s="135"/>
      <c r="L117" s="128"/>
      <c r="M117" s="133"/>
      <c r="N117" s="128"/>
      <c r="O117" s="133"/>
      <c r="P117" s="131"/>
      <c r="Q117" s="133"/>
      <c r="R117" s="54"/>
      <c r="S117" s="134"/>
      <c r="T117" s="133"/>
      <c r="U117" s="149"/>
      <c r="V117" s="134"/>
      <c r="W117" s="136"/>
      <c r="X117" s="136"/>
      <c r="Y117" s="134"/>
      <c r="Z117" s="136"/>
      <c r="AA117" s="128"/>
      <c r="AB117" s="134"/>
      <c r="AC117" s="133"/>
      <c r="AD117" s="133"/>
      <c r="AE117" s="128"/>
      <c r="AF117" s="133"/>
    </row>
    <row r="118" spans="1:32" ht="12.75" customHeight="1" hidden="1">
      <c r="A118" s="133"/>
      <c r="B118" s="133"/>
      <c r="C118" s="132"/>
      <c r="D118" s="133"/>
      <c r="E118" s="133"/>
      <c r="F118" s="133"/>
      <c r="G118" s="134"/>
      <c r="H118" s="133"/>
      <c r="I118" s="133"/>
      <c r="J118" s="133"/>
      <c r="K118" s="135"/>
      <c r="L118" s="128"/>
      <c r="M118" s="133"/>
      <c r="N118" s="128"/>
      <c r="O118" s="133"/>
      <c r="P118" s="131"/>
      <c r="Q118" s="133"/>
      <c r="R118" s="54"/>
      <c r="S118" s="134"/>
      <c r="T118" s="133"/>
      <c r="U118" s="149"/>
      <c r="V118" s="134"/>
      <c r="W118" s="136"/>
      <c r="X118" s="136"/>
      <c r="Y118" s="134"/>
      <c r="Z118" s="136"/>
      <c r="AA118" s="128"/>
      <c r="AB118" s="134"/>
      <c r="AC118" s="133"/>
      <c r="AD118" s="133"/>
      <c r="AE118" s="128"/>
      <c r="AF118" s="133"/>
    </row>
    <row r="119" spans="1:32" ht="12.75" customHeight="1" hidden="1">
      <c r="A119" s="133"/>
      <c r="B119" s="133"/>
      <c r="C119" s="132"/>
      <c r="D119" s="133"/>
      <c r="E119" s="133"/>
      <c r="F119" s="133"/>
      <c r="G119" s="134"/>
      <c r="H119" s="133"/>
      <c r="I119" s="133"/>
      <c r="J119" s="133"/>
      <c r="K119" s="135"/>
      <c r="L119" s="128"/>
      <c r="M119" s="133"/>
      <c r="N119" s="128"/>
      <c r="O119" s="133"/>
      <c r="P119" s="131"/>
      <c r="Q119" s="133"/>
      <c r="R119" s="54"/>
      <c r="S119" s="134"/>
      <c r="T119" s="133"/>
      <c r="U119" s="149"/>
      <c r="V119" s="134"/>
      <c r="W119" s="136"/>
      <c r="X119" s="136"/>
      <c r="Y119" s="134"/>
      <c r="Z119" s="136"/>
      <c r="AA119" s="128"/>
      <c r="AB119" s="134"/>
      <c r="AC119" s="133"/>
      <c r="AD119" s="133"/>
      <c r="AE119" s="128"/>
      <c r="AF119" s="133"/>
    </row>
    <row r="120" spans="1:32" ht="12.75" customHeight="1" hidden="1">
      <c r="A120" s="133"/>
      <c r="B120" s="133"/>
      <c r="C120" s="132"/>
      <c r="D120" s="133"/>
      <c r="E120" s="133"/>
      <c r="F120" s="133"/>
      <c r="G120" s="134"/>
      <c r="H120" s="133"/>
      <c r="I120" s="133"/>
      <c r="J120" s="133"/>
      <c r="K120" s="135"/>
      <c r="L120" s="128"/>
      <c r="M120" s="133"/>
      <c r="N120" s="128"/>
      <c r="O120" s="133"/>
      <c r="P120" s="131"/>
      <c r="Q120" s="133"/>
      <c r="R120" s="54"/>
      <c r="S120" s="134"/>
      <c r="T120" s="133"/>
      <c r="U120" s="149"/>
      <c r="V120" s="134"/>
      <c r="W120" s="136"/>
      <c r="X120" s="136"/>
      <c r="Y120" s="134"/>
      <c r="Z120" s="136"/>
      <c r="AA120" s="128"/>
      <c r="AB120" s="134"/>
      <c r="AC120" s="133"/>
      <c r="AD120" s="133"/>
      <c r="AE120" s="128"/>
      <c r="AF120" s="133"/>
    </row>
    <row r="121" spans="1:32" ht="12.75" customHeight="1" hidden="1">
      <c r="A121" s="133"/>
      <c r="B121" s="133"/>
      <c r="C121" s="132"/>
      <c r="D121" s="133"/>
      <c r="E121" s="133"/>
      <c r="F121" s="133"/>
      <c r="G121" s="134"/>
      <c r="H121" s="133"/>
      <c r="I121" s="133"/>
      <c r="J121" s="133"/>
      <c r="K121" s="135"/>
      <c r="L121" s="128"/>
      <c r="M121" s="133"/>
      <c r="N121" s="128"/>
      <c r="O121" s="133"/>
      <c r="P121" s="131"/>
      <c r="Q121" s="133"/>
      <c r="R121" s="54"/>
      <c r="S121" s="134"/>
      <c r="T121" s="133"/>
      <c r="U121" s="149"/>
      <c r="V121" s="134"/>
      <c r="W121" s="136"/>
      <c r="X121" s="136"/>
      <c r="Y121" s="134"/>
      <c r="Z121" s="136"/>
      <c r="AA121" s="128"/>
      <c r="AB121" s="134"/>
      <c r="AC121" s="133"/>
      <c r="AD121" s="133"/>
      <c r="AE121" s="128"/>
      <c r="AF121" s="133"/>
    </row>
    <row r="122" spans="1:32" ht="12.75" customHeight="1" hidden="1">
      <c r="A122" s="133"/>
      <c r="B122" s="133"/>
      <c r="C122" s="132"/>
      <c r="D122" s="133"/>
      <c r="E122" s="133"/>
      <c r="F122" s="133"/>
      <c r="G122" s="134"/>
      <c r="H122" s="133"/>
      <c r="I122" s="133"/>
      <c r="J122" s="133"/>
      <c r="K122" s="135"/>
      <c r="L122" s="128"/>
      <c r="M122" s="133"/>
      <c r="N122" s="128"/>
      <c r="O122" s="133"/>
      <c r="P122" s="131"/>
      <c r="Q122" s="133"/>
      <c r="R122" s="54"/>
      <c r="S122" s="134"/>
      <c r="T122" s="133"/>
      <c r="U122" s="149"/>
      <c r="V122" s="134"/>
      <c r="W122" s="136"/>
      <c r="X122" s="136"/>
      <c r="Y122" s="134"/>
      <c r="Z122" s="136"/>
      <c r="AA122" s="128"/>
      <c r="AB122" s="134"/>
      <c r="AC122" s="133"/>
      <c r="AD122" s="133"/>
      <c r="AE122" s="128"/>
      <c r="AF122" s="133"/>
    </row>
    <row r="123" spans="1:32" ht="12.75" customHeight="1" hidden="1">
      <c r="A123" s="133"/>
      <c r="B123" s="133"/>
      <c r="C123" s="132"/>
      <c r="D123" s="133"/>
      <c r="E123" s="133"/>
      <c r="F123" s="133"/>
      <c r="G123" s="134"/>
      <c r="H123" s="133"/>
      <c r="I123" s="133"/>
      <c r="J123" s="133"/>
      <c r="K123" s="135"/>
      <c r="L123" s="128"/>
      <c r="M123" s="133"/>
      <c r="N123" s="128"/>
      <c r="O123" s="133"/>
      <c r="P123" s="131"/>
      <c r="Q123" s="133"/>
      <c r="R123" s="54"/>
      <c r="S123" s="134"/>
      <c r="T123" s="133"/>
      <c r="U123" s="149"/>
      <c r="V123" s="134"/>
      <c r="W123" s="136"/>
      <c r="X123" s="136"/>
      <c r="Y123" s="134"/>
      <c r="Z123" s="136"/>
      <c r="AA123" s="128"/>
      <c r="AB123" s="134"/>
      <c r="AC123" s="133"/>
      <c r="AD123" s="133"/>
      <c r="AE123" s="128"/>
      <c r="AF123" s="133"/>
    </row>
    <row r="124" spans="1:32" ht="12.75" customHeight="1" hidden="1">
      <c r="A124" s="133"/>
      <c r="B124" s="133"/>
      <c r="C124" s="132"/>
      <c r="D124" s="133"/>
      <c r="E124" s="133"/>
      <c r="F124" s="133"/>
      <c r="G124" s="134"/>
      <c r="H124" s="133"/>
      <c r="I124" s="133"/>
      <c r="J124" s="133"/>
      <c r="K124" s="135"/>
      <c r="L124" s="128"/>
      <c r="M124" s="133"/>
      <c r="N124" s="128"/>
      <c r="O124" s="133"/>
      <c r="P124" s="131"/>
      <c r="Q124" s="133"/>
      <c r="R124" s="54"/>
      <c r="S124" s="134"/>
      <c r="T124" s="133"/>
      <c r="U124" s="149"/>
      <c r="V124" s="134"/>
      <c r="W124" s="136"/>
      <c r="X124" s="136"/>
      <c r="Y124" s="134"/>
      <c r="Z124" s="136"/>
      <c r="AA124" s="128"/>
      <c r="AB124" s="134"/>
      <c r="AC124" s="133"/>
      <c r="AD124" s="133"/>
      <c r="AE124" s="128"/>
      <c r="AF124" s="133"/>
    </row>
    <row r="125" spans="1:32" ht="12.75" customHeight="1" hidden="1">
      <c r="A125" s="133"/>
      <c r="B125" s="133"/>
      <c r="C125" s="132"/>
      <c r="D125" s="133"/>
      <c r="E125" s="133"/>
      <c r="F125" s="133"/>
      <c r="G125" s="134"/>
      <c r="H125" s="133"/>
      <c r="I125" s="133"/>
      <c r="J125" s="133"/>
      <c r="K125" s="135"/>
      <c r="L125" s="128"/>
      <c r="M125" s="133"/>
      <c r="N125" s="128"/>
      <c r="O125" s="133"/>
      <c r="P125" s="131"/>
      <c r="Q125" s="133"/>
      <c r="R125" s="54"/>
      <c r="S125" s="134"/>
      <c r="T125" s="133"/>
      <c r="U125" s="149"/>
      <c r="V125" s="134"/>
      <c r="W125" s="136"/>
      <c r="X125" s="136"/>
      <c r="Y125" s="134"/>
      <c r="Z125" s="136"/>
      <c r="AA125" s="128"/>
      <c r="AB125" s="134"/>
      <c r="AC125" s="133"/>
      <c r="AD125" s="133"/>
      <c r="AE125" s="128"/>
      <c r="AF125" s="133"/>
    </row>
    <row r="126" spans="1:32" ht="12.75" customHeight="1" hidden="1">
      <c r="A126" s="133"/>
      <c r="B126" s="133"/>
      <c r="C126" s="132"/>
      <c r="D126" s="133"/>
      <c r="E126" s="133"/>
      <c r="F126" s="133"/>
      <c r="G126" s="134"/>
      <c r="H126" s="133"/>
      <c r="I126" s="133"/>
      <c r="J126" s="133"/>
      <c r="K126" s="135"/>
      <c r="L126" s="128"/>
      <c r="M126" s="133"/>
      <c r="N126" s="128"/>
      <c r="O126" s="133"/>
      <c r="P126" s="131"/>
      <c r="Q126" s="133"/>
      <c r="R126" s="54"/>
      <c r="S126" s="134"/>
      <c r="T126" s="133"/>
      <c r="U126" s="149"/>
      <c r="V126" s="134"/>
      <c r="W126" s="136"/>
      <c r="X126" s="136"/>
      <c r="Y126" s="134"/>
      <c r="Z126" s="136"/>
      <c r="AA126" s="128"/>
      <c r="AB126" s="134"/>
      <c r="AC126" s="133"/>
      <c r="AD126" s="133"/>
      <c r="AE126" s="128"/>
      <c r="AF126" s="133"/>
    </row>
    <row r="127" spans="1:32" ht="12.75" customHeight="1" hidden="1">
      <c r="A127" s="133"/>
      <c r="B127" s="133"/>
      <c r="C127" s="132"/>
      <c r="D127" s="133"/>
      <c r="E127" s="133"/>
      <c r="F127" s="133"/>
      <c r="G127" s="134"/>
      <c r="H127" s="133"/>
      <c r="I127" s="133"/>
      <c r="J127" s="133"/>
      <c r="K127" s="135"/>
      <c r="L127" s="128"/>
      <c r="M127" s="133"/>
      <c r="N127" s="128"/>
      <c r="O127" s="133"/>
      <c r="P127" s="131"/>
      <c r="Q127" s="133"/>
      <c r="R127" s="54"/>
      <c r="S127" s="134"/>
      <c r="T127" s="133"/>
      <c r="U127" s="149"/>
      <c r="V127" s="134"/>
      <c r="W127" s="136"/>
      <c r="X127" s="136"/>
      <c r="Y127" s="134"/>
      <c r="Z127" s="136"/>
      <c r="AA127" s="128"/>
      <c r="AB127" s="134"/>
      <c r="AC127" s="133"/>
      <c r="AD127" s="133"/>
      <c r="AE127" s="128"/>
      <c r="AF127" s="133"/>
    </row>
    <row r="128" spans="1:32" ht="12.75" customHeight="1" hidden="1">
      <c r="A128" s="133"/>
      <c r="B128" s="133"/>
      <c r="C128" s="132"/>
      <c r="D128" s="133"/>
      <c r="E128" s="133"/>
      <c r="F128" s="133"/>
      <c r="G128" s="134"/>
      <c r="H128" s="133"/>
      <c r="I128" s="133"/>
      <c r="J128" s="133"/>
      <c r="K128" s="135"/>
      <c r="L128" s="128"/>
      <c r="M128" s="133"/>
      <c r="N128" s="128"/>
      <c r="O128" s="133"/>
      <c r="P128" s="131"/>
      <c r="Q128" s="133"/>
      <c r="R128" s="54"/>
      <c r="S128" s="134"/>
      <c r="T128" s="133"/>
      <c r="U128" s="149"/>
      <c r="V128" s="134"/>
      <c r="W128" s="136"/>
      <c r="X128" s="136"/>
      <c r="Y128" s="134"/>
      <c r="Z128" s="136"/>
      <c r="AA128" s="128"/>
      <c r="AB128" s="134"/>
      <c r="AC128" s="133"/>
      <c r="AD128" s="133"/>
      <c r="AE128" s="128"/>
      <c r="AF128" s="133"/>
    </row>
    <row r="129" spans="1:32" ht="12.75" customHeight="1" hidden="1">
      <c r="A129" s="133"/>
      <c r="B129" s="133"/>
      <c r="C129" s="132"/>
      <c r="D129" s="133"/>
      <c r="E129" s="133"/>
      <c r="F129" s="133"/>
      <c r="G129" s="134"/>
      <c r="H129" s="133"/>
      <c r="I129" s="133"/>
      <c r="J129" s="133"/>
      <c r="K129" s="135"/>
      <c r="L129" s="128"/>
      <c r="M129" s="133"/>
      <c r="N129" s="128"/>
      <c r="O129" s="133"/>
      <c r="P129" s="131"/>
      <c r="Q129" s="133"/>
      <c r="R129" s="54"/>
      <c r="S129" s="134"/>
      <c r="T129" s="133"/>
      <c r="U129" s="149"/>
      <c r="V129" s="134"/>
      <c r="W129" s="136"/>
      <c r="X129" s="136"/>
      <c r="Y129" s="134"/>
      <c r="Z129" s="136"/>
      <c r="AA129" s="128"/>
      <c r="AB129" s="134"/>
      <c r="AC129" s="133"/>
      <c r="AD129" s="133"/>
      <c r="AE129" s="128"/>
      <c r="AF129" s="133"/>
    </row>
    <row r="130" spans="1:32" ht="12.75" customHeight="1" hidden="1">
      <c r="A130" s="133"/>
      <c r="B130" s="133"/>
      <c r="C130" s="132"/>
      <c r="D130" s="133"/>
      <c r="E130" s="133"/>
      <c r="F130" s="133"/>
      <c r="G130" s="134"/>
      <c r="H130" s="133"/>
      <c r="I130" s="133"/>
      <c r="J130" s="133"/>
      <c r="K130" s="135"/>
      <c r="L130" s="128"/>
      <c r="M130" s="133"/>
      <c r="N130" s="128"/>
      <c r="O130" s="133"/>
      <c r="P130" s="131"/>
      <c r="Q130" s="133"/>
      <c r="R130" s="54"/>
      <c r="S130" s="134"/>
      <c r="T130" s="133"/>
      <c r="U130" s="149"/>
      <c r="V130" s="134"/>
      <c r="W130" s="136"/>
      <c r="X130" s="136"/>
      <c r="Y130" s="134"/>
      <c r="Z130" s="136"/>
      <c r="AA130" s="128"/>
      <c r="AB130" s="134"/>
      <c r="AC130" s="133"/>
      <c r="AD130" s="133"/>
      <c r="AE130" s="128"/>
      <c r="AF130" s="133"/>
    </row>
    <row r="131" spans="1:32" ht="12.75" customHeight="1" hidden="1">
      <c r="A131" s="133"/>
      <c r="B131" s="133"/>
      <c r="C131" s="132"/>
      <c r="D131" s="133"/>
      <c r="E131" s="133"/>
      <c r="F131" s="133"/>
      <c r="G131" s="134"/>
      <c r="H131" s="133"/>
      <c r="I131" s="133"/>
      <c r="J131" s="133"/>
      <c r="K131" s="135"/>
      <c r="L131" s="128"/>
      <c r="M131" s="133"/>
      <c r="N131" s="128"/>
      <c r="O131" s="133"/>
      <c r="P131" s="131"/>
      <c r="Q131" s="133"/>
      <c r="R131" s="54"/>
      <c r="S131" s="134"/>
      <c r="T131" s="133"/>
      <c r="U131" s="149"/>
      <c r="V131" s="134"/>
      <c r="W131" s="136"/>
      <c r="X131" s="136"/>
      <c r="Y131" s="134"/>
      <c r="Z131" s="136"/>
      <c r="AA131" s="128"/>
      <c r="AB131" s="134"/>
      <c r="AC131" s="133"/>
      <c r="AD131" s="133"/>
      <c r="AE131" s="128"/>
      <c r="AF131" s="133"/>
    </row>
    <row r="132" spans="1:32" ht="12.75" customHeight="1" hidden="1">
      <c r="A132" s="133"/>
      <c r="B132" s="133"/>
      <c r="C132" s="132"/>
      <c r="D132" s="133"/>
      <c r="E132" s="133"/>
      <c r="F132" s="133"/>
      <c r="G132" s="134"/>
      <c r="H132" s="133"/>
      <c r="I132" s="133"/>
      <c r="J132" s="133"/>
      <c r="K132" s="135"/>
      <c r="L132" s="128"/>
      <c r="M132" s="133"/>
      <c r="N132" s="128"/>
      <c r="O132" s="133"/>
      <c r="P132" s="131"/>
      <c r="Q132" s="133"/>
      <c r="R132" s="54"/>
      <c r="S132" s="134"/>
      <c r="T132" s="133"/>
      <c r="U132" s="149"/>
      <c r="V132" s="134"/>
      <c r="W132" s="136"/>
      <c r="X132" s="136"/>
      <c r="Y132" s="134"/>
      <c r="Z132" s="136"/>
      <c r="AA132" s="128"/>
      <c r="AB132" s="134"/>
      <c r="AC132" s="133"/>
      <c r="AD132" s="133"/>
      <c r="AE132" s="128"/>
      <c r="AF132" s="133"/>
    </row>
    <row r="133" spans="1:32" ht="12.75" customHeight="1" hidden="1">
      <c r="A133" s="133"/>
      <c r="B133" s="133"/>
      <c r="C133" s="132"/>
      <c r="D133" s="133"/>
      <c r="E133" s="133"/>
      <c r="F133" s="133"/>
      <c r="G133" s="134"/>
      <c r="H133" s="133"/>
      <c r="I133" s="133"/>
      <c r="J133" s="133"/>
      <c r="K133" s="135"/>
      <c r="L133" s="128"/>
      <c r="M133" s="133"/>
      <c r="N133" s="128"/>
      <c r="O133" s="133"/>
      <c r="P133" s="131"/>
      <c r="Q133" s="133"/>
      <c r="R133" s="54"/>
      <c r="S133" s="134"/>
      <c r="T133" s="133"/>
      <c r="U133" s="149"/>
      <c r="V133" s="134"/>
      <c r="W133" s="136"/>
      <c r="X133" s="136"/>
      <c r="Y133" s="134"/>
      <c r="Z133" s="136"/>
      <c r="AA133" s="128"/>
      <c r="AB133" s="134"/>
      <c r="AC133" s="133"/>
      <c r="AD133" s="133"/>
      <c r="AE133" s="128"/>
      <c r="AF133" s="133"/>
    </row>
    <row r="134" spans="1:32" ht="12.75" customHeight="1" hidden="1">
      <c r="A134" s="133"/>
      <c r="B134" s="133"/>
      <c r="C134" s="132"/>
      <c r="D134" s="133"/>
      <c r="E134" s="133"/>
      <c r="F134" s="133"/>
      <c r="G134" s="134"/>
      <c r="H134" s="133"/>
      <c r="I134" s="133"/>
      <c r="J134" s="133"/>
      <c r="K134" s="135"/>
      <c r="L134" s="128"/>
      <c r="M134" s="133"/>
      <c r="N134" s="128"/>
      <c r="O134" s="133"/>
      <c r="P134" s="131"/>
      <c r="Q134" s="133"/>
      <c r="R134" s="54"/>
      <c r="S134" s="134"/>
      <c r="T134" s="133"/>
      <c r="U134" s="149"/>
      <c r="V134" s="134"/>
      <c r="W134" s="136"/>
      <c r="X134" s="136"/>
      <c r="Y134" s="134"/>
      <c r="Z134" s="136"/>
      <c r="AA134" s="128"/>
      <c r="AB134" s="134"/>
      <c r="AC134" s="133"/>
      <c r="AD134" s="133"/>
      <c r="AE134" s="128"/>
      <c r="AF134" s="133"/>
    </row>
    <row r="135" spans="1:32" ht="12.75" customHeight="1" hidden="1">
      <c r="A135" s="133"/>
      <c r="B135" s="133"/>
      <c r="C135" s="132"/>
      <c r="D135" s="133"/>
      <c r="E135" s="133"/>
      <c r="F135" s="133"/>
      <c r="G135" s="134"/>
      <c r="H135" s="133"/>
      <c r="I135" s="133"/>
      <c r="J135" s="133"/>
      <c r="K135" s="135"/>
      <c r="L135" s="128"/>
      <c r="M135" s="133"/>
      <c r="N135" s="128"/>
      <c r="O135" s="133"/>
      <c r="P135" s="131"/>
      <c r="Q135" s="133"/>
      <c r="R135" s="54"/>
      <c r="S135" s="134"/>
      <c r="T135" s="133"/>
      <c r="U135" s="149"/>
      <c r="V135" s="134"/>
      <c r="W135" s="136"/>
      <c r="X135" s="136"/>
      <c r="Y135" s="134"/>
      <c r="Z135" s="136"/>
      <c r="AA135" s="128"/>
      <c r="AB135" s="134"/>
      <c r="AC135" s="133"/>
      <c r="AD135" s="133"/>
      <c r="AE135" s="128"/>
      <c r="AF135" s="133"/>
    </row>
    <row r="136" spans="1:32" ht="12.75" customHeight="1" hidden="1">
      <c r="A136" s="133"/>
      <c r="B136" s="133"/>
      <c r="C136" s="132"/>
      <c r="D136" s="133"/>
      <c r="E136" s="133"/>
      <c r="F136" s="133"/>
      <c r="G136" s="134"/>
      <c r="H136" s="133"/>
      <c r="I136" s="133"/>
      <c r="J136" s="133"/>
      <c r="K136" s="135"/>
      <c r="L136" s="128"/>
      <c r="M136" s="133"/>
      <c r="N136" s="128"/>
      <c r="O136" s="133"/>
      <c r="P136" s="131"/>
      <c r="Q136" s="133"/>
      <c r="R136" s="54"/>
      <c r="S136" s="134"/>
      <c r="T136" s="133"/>
      <c r="U136" s="149"/>
      <c r="V136" s="134"/>
      <c r="W136" s="136"/>
      <c r="X136" s="136"/>
      <c r="Y136" s="134"/>
      <c r="Z136" s="136"/>
      <c r="AA136" s="128"/>
      <c r="AB136" s="134"/>
      <c r="AC136" s="133"/>
      <c r="AD136" s="133"/>
      <c r="AE136" s="128"/>
      <c r="AF136" s="133"/>
    </row>
    <row r="137" spans="1:32" ht="12.75" customHeight="1" hidden="1">
      <c r="A137" s="133"/>
      <c r="B137" s="133"/>
      <c r="C137" s="132"/>
      <c r="D137" s="133"/>
      <c r="E137" s="133"/>
      <c r="F137" s="133"/>
      <c r="G137" s="134"/>
      <c r="H137" s="133"/>
      <c r="I137" s="133"/>
      <c r="J137" s="133"/>
      <c r="K137" s="135"/>
      <c r="L137" s="128"/>
      <c r="M137" s="133"/>
      <c r="N137" s="128"/>
      <c r="O137" s="133"/>
      <c r="P137" s="131"/>
      <c r="Q137" s="133"/>
      <c r="R137" s="54"/>
      <c r="S137" s="134"/>
      <c r="T137" s="133"/>
      <c r="U137" s="149"/>
      <c r="V137" s="134"/>
      <c r="W137" s="136"/>
      <c r="X137" s="136"/>
      <c r="Y137" s="134"/>
      <c r="Z137" s="136"/>
      <c r="AA137" s="128"/>
      <c r="AB137" s="134"/>
      <c r="AC137" s="133"/>
      <c r="AD137" s="133"/>
      <c r="AE137" s="128"/>
      <c r="AF137" s="133"/>
    </row>
    <row r="138" spans="1:32" ht="12.75" customHeight="1" hidden="1">
      <c r="A138" s="133"/>
      <c r="B138" s="133"/>
      <c r="C138" s="132"/>
      <c r="D138" s="133"/>
      <c r="E138" s="133"/>
      <c r="F138" s="133"/>
      <c r="G138" s="134"/>
      <c r="H138" s="133"/>
      <c r="I138" s="133"/>
      <c r="J138" s="133"/>
      <c r="K138" s="135"/>
      <c r="L138" s="128"/>
      <c r="M138" s="133"/>
      <c r="N138" s="128"/>
      <c r="O138" s="133"/>
      <c r="P138" s="131"/>
      <c r="Q138" s="133"/>
      <c r="R138" s="54"/>
      <c r="S138" s="134"/>
      <c r="T138" s="133"/>
      <c r="U138" s="149"/>
      <c r="V138" s="134"/>
      <c r="W138" s="136"/>
      <c r="X138" s="136"/>
      <c r="Y138" s="134"/>
      <c r="Z138" s="136"/>
      <c r="AA138" s="128"/>
      <c r="AB138" s="134"/>
      <c r="AC138" s="133"/>
      <c r="AD138" s="133"/>
      <c r="AE138" s="128"/>
      <c r="AF138" s="133"/>
    </row>
    <row r="139" spans="1:32" ht="12.75" customHeight="1" hidden="1">
      <c r="A139" s="133"/>
      <c r="B139" s="133"/>
      <c r="C139" s="132"/>
      <c r="D139" s="133"/>
      <c r="E139" s="133"/>
      <c r="F139" s="133"/>
      <c r="G139" s="134"/>
      <c r="H139" s="133"/>
      <c r="I139" s="133"/>
      <c r="J139" s="133"/>
      <c r="K139" s="135"/>
      <c r="L139" s="128"/>
      <c r="M139" s="133"/>
      <c r="N139" s="128"/>
      <c r="O139" s="133"/>
      <c r="P139" s="131"/>
      <c r="Q139" s="133"/>
      <c r="R139" s="54"/>
      <c r="S139" s="134"/>
      <c r="T139" s="133"/>
      <c r="U139" s="149"/>
      <c r="V139" s="134"/>
      <c r="W139" s="136"/>
      <c r="X139" s="136"/>
      <c r="Y139" s="134"/>
      <c r="Z139" s="136"/>
      <c r="AA139" s="128"/>
      <c r="AB139" s="134"/>
      <c r="AC139" s="133"/>
      <c r="AD139" s="133"/>
      <c r="AE139" s="128"/>
      <c r="AF139" s="133"/>
    </row>
    <row r="140" spans="1:32" ht="12.75" customHeight="1" hidden="1">
      <c r="A140" s="133"/>
      <c r="B140" s="133"/>
      <c r="C140" s="132"/>
      <c r="D140" s="133"/>
      <c r="E140" s="133"/>
      <c r="F140" s="133"/>
      <c r="G140" s="134"/>
      <c r="H140" s="133"/>
      <c r="I140" s="133"/>
      <c r="J140" s="133"/>
      <c r="K140" s="135"/>
      <c r="L140" s="128"/>
      <c r="M140" s="133"/>
      <c r="N140" s="128"/>
      <c r="O140" s="133"/>
      <c r="P140" s="131"/>
      <c r="Q140" s="133"/>
      <c r="R140" s="54"/>
      <c r="S140" s="134"/>
      <c r="T140" s="133"/>
      <c r="U140" s="149"/>
      <c r="V140" s="134"/>
      <c r="W140" s="136"/>
      <c r="X140" s="136"/>
      <c r="Y140" s="134"/>
      <c r="Z140" s="136"/>
      <c r="AA140" s="128"/>
      <c r="AB140" s="134"/>
      <c r="AC140" s="133"/>
      <c r="AD140" s="133"/>
      <c r="AE140" s="128"/>
      <c r="AF140" s="133"/>
    </row>
    <row r="141" spans="1:32" ht="12.75" customHeight="1" hidden="1">
      <c r="A141" s="133"/>
      <c r="B141" s="133"/>
      <c r="C141" s="132"/>
      <c r="D141" s="133"/>
      <c r="E141" s="133"/>
      <c r="F141" s="133"/>
      <c r="G141" s="134"/>
      <c r="H141" s="133"/>
      <c r="I141" s="133"/>
      <c r="J141" s="133"/>
      <c r="K141" s="135"/>
      <c r="L141" s="128"/>
      <c r="M141" s="133"/>
      <c r="N141" s="128"/>
      <c r="O141" s="133"/>
      <c r="P141" s="131"/>
      <c r="Q141" s="133"/>
      <c r="R141" s="54"/>
      <c r="S141" s="134"/>
      <c r="T141" s="133"/>
      <c r="U141" s="149"/>
      <c r="V141" s="134"/>
      <c r="W141" s="136"/>
      <c r="X141" s="136"/>
      <c r="Y141" s="134"/>
      <c r="Z141" s="136"/>
      <c r="AA141" s="128"/>
      <c r="AB141" s="134"/>
      <c r="AC141" s="133"/>
      <c r="AD141" s="133"/>
      <c r="AE141" s="128"/>
      <c r="AF141" s="133"/>
    </row>
    <row r="142" spans="1:32" ht="12.75" customHeight="1" hidden="1">
      <c r="A142" s="133"/>
      <c r="B142" s="133"/>
      <c r="C142" s="132"/>
      <c r="D142" s="133"/>
      <c r="E142" s="133"/>
      <c r="F142" s="133"/>
      <c r="G142" s="134"/>
      <c r="H142" s="133"/>
      <c r="I142" s="133"/>
      <c r="J142" s="133"/>
      <c r="K142" s="135"/>
      <c r="L142" s="128"/>
      <c r="M142" s="133"/>
      <c r="N142" s="128"/>
      <c r="O142" s="133"/>
      <c r="P142" s="131"/>
      <c r="Q142" s="133"/>
      <c r="R142" s="54"/>
      <c r="S142" s="134"/>
      <c r="T142" s="133"/>
      <c r="U142" s="149"/>
      <c r="V142" s="134"/>
      <c r="W142" s="136"/>
      <c r="X142" s="136"/>
      <c r="Y142" s="134"/>
      <c r="Z142" s="136"/>
      <c r="AA142" s="128"/>
      <c r="AB142" s="134"/>
      <c r="AC142" s="133"/>
      <c r="AD142" s="133"/>
      <c r="AE142" s="128"/>
      <c r="AF142" s="133"/>
    </row>
    <row r="143" spans="1:32" ht="12.75" customHeight="1" hidden="1">
      <c r="A143" s="133"/>
      <c r="B143" s="133"/>
      <c r="C143" s="132"/>
      <c r="D143" s="133"/>
      <c r="E143" s="133"/>
      <c r="F143" s="133"/>
      <c r="G143" s="134"/>
      <c r="H143" s="133"/>
      <c r="I143" s="133"/>
      <c r="J143" s="133"/>
      <c r="K143" s="135"/>
      <c r="L143" s="128"/>
      <c r="M143" s="133"/>
      <c r="N143" s="128"/>
      <c r="O143" s="133"/>
      <c r="P143" s="131"/>
      <c r="Q143" s="133"/>
      <c r="R143" s="54"/>
      <c r="S143" s="134"/>
      <c r="T143" s="133"/>
      <c r="U143" s="149"/>
      <c r="V143" s="134"/>
      <c r="W143" s="136"/>
      <c r="X143" s="136"/>
      <c r="Y143" s="134"/>
      <c r="Z143" s="136"/>
      <c r="AA143" s="128"/>
      <c r="AB143" s="134"/>
      <c r="AC143" s="133"/>
      <c r="AD143" s="133"/>
      <c r="AE143" s="128"/>
      <c r="AF143" s="133"/>
    </row>
    <row r="144" spans="1:32" ht="12.75" customHeight="1" hidden="1">
      <c r="A144" s="133"/>
      <c r="B144" s="133"/>
      <c r="C144" s="132"/>
      <c r="D144" s="133"/>
      <c r="E144" s="133"/>
      <c r="F144" s="133"/>
      <c r="G144" s="134"/>
      <c r="H144" s="133"/>
      <c r="I144" s="133"/>
      <c r="J144" s="133"/>
      <c r="K144" s="135"/>
      <c r="L144" s="128"/>
      <c r="M144" s="133"/>
      <c r="N144" s="128"/>
      <c r="O144" s="133"/>
      <c r="P144" s="131"/>
      <c r="Q144" s="133"/>
      <c r="R144" s="54"/>
      <c r="S144" s="134"/>
      <c r="T144" s="133"/>
      <c r="U144" s="149"/>
      <c r="V144" s="134"/>
      <c r="W144" s="136"/>
      <c r="X144" s="136"/>
      <c r="Y144" s="134"/>
      <c r="Z144" s="136"/>
      <c r="AA144" s="128"/>
      <c r="AB144" s="134"/>
      <c r="AC144" s="133"/>
      <c r="AD144" s="133"/>
      <c r="AE144" s="128"/>
      <c r="AF144" s="133"/>
    </row>
    <row r="145" spans="1:32" ht="12.75" customHeight="1" hidden="1">
      <c r="A145" s="133"/>
      <c r="B145" s="133"/>
      <c r="C145" s="132"/>
      <c r="D145" s="133"/>
      <c r="E145" s="133"/>
      <c r="F145" s="133"/>
      <c r="G145" s="134"/>
      <c r="H145" s="133"/>
      <c r="I145" s="133"/>
      <c r="J145" s="133"/>
      <c r="K145" s="135"/>
      <c r="L145" s="128"/>
      <c r="M145" s="133"/>
      <c r="N145" s="128"/>
      <c r="O145" s="133"/>
      <c r="P145" s="131"/>
      <c r="Q145" s="133"/>
      <c r="R145" s="54"/>
      <c r="S145" s="134"/>
      <c r="T145" s="133"/>
      <c r="U145" s="149"/>
      <c r="V145" s="134"/>
      <c r="W145" s="136"/>
      <c r="X145" s="136"/>
      <c r="Y145" s="134"/>
      <c r="Z145" s="136"/>
      <c r="AA145" s="128"/>
      <c r="AB145" s="134"/>
      <c r="AC145" s="133"/>
      <c r="AD145" s="133"/>
      <c r="AE145" s="128"/>
      <c r="AF145" s="133"/>
    </row>
    <row r="146" spans="1:32" ht="12.75" customHeight="1" hidden="1">
      <c r="A146" s="133"/>
      <c r="B146" s="133"/>
      <c r="C146" s="132"/>
      <c r="D146" s="133"/>
      <c r="E146" s="133"/>
      <c r="F146" s="133"/>
      <c r="G146" s="134"/>
      <c r="H146" s="133"/>
      <c r="I146" s="133"/>
      <c r="J146" s="133"/>
      <c r="K146" s="135"/>
      <c r="L146" s="128"/>
      <c r="M146" s="133"/>
      <c r="N146" s="128"/>
      <c r="O146" s="133"/>
      <c r="P146" s="131"/>
      <c r="Q146" s="133"/>
      <c r="R146" s="54"/>
      <c r="S146" s="134"/>
      <c r="T146" s="133"/>
      <c r="U146" s="149"/>
      <c r="V146" s="134"/>
      <c r="W146" s="136"/>
      <c r="X146" s="136"/>
      <c r="Y146" s="134"/>
      <c r="Z146" s="136"/>
      <c r="AA146" s="128"/>
      <c r="AB146" s="134"/>
      <c r="AC146" s="133"/>
      <c r="AD146" s="133"/>
      <c r="AE146" s="128"/>
      <c r="AF146" s="133"/>
    </row>
    <row r="147" spans="1:32" ht="12.75" customHeight="1" hidden="1">
      <c r="A147" s="133"/>
      <c r="B147" s="133"/>
      <c r="C147" s="132"/>
      <c r="D147" s="133"/>
      <c r="E147" s="133"/>
      <c r="F147" s="133"/>
      <c r="G147" s="134"/>
      <c r="H147" s="133"/>
      <c r="I147" s="133"/>
      <c r="J147" s="133"/>
      <c r="K147" s="135"/>
      <c r="L147" s="128"/>
      <c r="M147" s="133"/>
      <c r="N147" s="128"/>
      <c r="O147" s="133"/>
      <c r="P147" s="131"/>
      <c r="Q147" s="133"/>
      <c r="R147" s="54"/>
      <c r="S147" s="134"/>
      <c r="T147" s="133"/>
      <c r="U147" s="149"/>
      <c r="V147" s="134"/>
      <c r="W147" s="136"/>
      <c r="X147" s="136"/>
      <c r="Y147" s="134"/>
      <c r="Z147" s="136"/>
      <c r="AA147" s="128"/>
      <c r="AB147" s="134"/>
      <c r="AC147" s="133"/>
      <c r="AD147" s="133"/>
      <c r="AE147" s="128"/>
      <c r="AF147" s="133"/>
    </row>
    <row r="148" spans="1:32" ht="12.75" customHeight="1" hidden="1">
      <c r="A148" s="133"/>
      <c r="B148" s="133"/>
      <c r="C148" s="132"/>
      <c r="D148" s="133"/>
      <c r="E148" s="133"/>
      <c r="F148" s="133"/>
      <c r="G148" s="134"/>
      <c r="H148" s="133"/>
      <c r="I148" s="133"/>
      <c r="J148" s="133"/>
      <c r="K148" s="135"/>
      <c r="L148" s="128"/>
      <c r="M148" s="133"/>
      <c r="N148" s="128"/>
      <c r="O148" s="133"/>
      <c r="P148" s="131"/>
      <c r="Q148" s="133"/>
      <c r="R148" s="54"/>
      <c r="S148" s="134"/>
      <c r="T148" s="133"/>
      <c r="U148" s="149"/>
      <c r="V148" s="134"/>
      <c r="W148" s="136"/>
      <c r="X148" s="136"/>
      <c r="Y148" s="134"/>
      <c r="Z148" s="136"/>
      <c r="AA148" s="128"/>
      <c r="AB148" s="134"/>
      <c r="AC148" s="133"/>
      <c r="AD148" s="133"/>
      <c r="AE148" s="128"/>
      <c r="AF148" s="133"/>
    </row>
    <row r="149" spans="1:32" ht="12.75" customHeight="1" hidden="1">
      <c r="A149" s="133"/>
      <c r="B149" s="133"/>
      <c r="C149" s="132"/>
      <c r="D149" s="133"/>
      <c r="E149" s="133"/>
      <c r="F149" s="133"/>
      <c r="G149" s="134"/>
      <c r="H149" s="133"/>
      <c r="I149" s="133"/>
      <c r="J149" s="133"/>
      <c r="K149" s="135"/>
      <c r="L149" s="128"/>
      <c r="M149" s="133"/>
      <c r="N149" s="128"/>
      <c r="O149" s="133"/>
      <c r="P149" s="131"/>
      <c r="Q149" s="133"/>
      <c r="R149" s="54"/>
      <c r="S149" s="134"/>
      <c r="T149" s="133"/>
      <c r="U149" s="149"/>
      <c r="V149" s="134"/>
      <c r="W149" s="136"/>
      <c r="X149" s="136"/>
      <c r="Y149" s="134"/>
      <c r="Z149" s="136"/>
      <c r="AA149" s="128"/>
      <c r="AB149" s="134"/>
      <c r="AC149" s="133"/>
      <c r="AD149" s="133"/>
      <c r="AE149" s="128"/>
      <c r="AF149" s="133"/>
    </row>
    <row r="150" spans="1:32" ht="12.75" customHeight="1" hidden="1">
      <c r="A150" s="133"/>
      <c r="B150" s="133"/>
      <c r="C150" s="132"/>
      <c r="D150" s="133"/>
      <c r="E150" s="133"/>
      <c r="F150" s="133"/>
      <c r="G150" s="134"/>
      <c r="H150" s="133"/>
      <c r="I150" s="133"/>
      <c r="J150" s="133"/>
      <c r="K150" s="135"/>
      <c r="L150" s="128"/>
      <c r="M150" s="133"/>
      <c r="N150" s="128"/>
      <c r="O150" s="133"/>
      <c r="P150" s="131"/>
      <c r="Q150" s="133"/>
      <c r="R150" s="54"/>
      <c r="S150" s="134"/>
      <c r="T150" s="133"/>
      <c r="U150" s="149"/>
      <c r="V150" s="134"/>
      <c r="W150" s="136"/>
      <c r="X150" s="136"/>
      <c r="Y150" s="134"/>
      <c r="Z150" s="136"/>
      <c r="AA150" s="128"/>
      <c r="AB150" s="134"/>
      <c r="AC150" s="133"/>
      <c r="AD150" s="133"/>
      <c r="AE150" s="128"/>
      <c r="AF150" s="133"/>
    </row>
    <row r="151" spans="1:32" ht="12.75" customHeight="1" hidden="1">
      <c r="A151" s="133"/>
      <c r="B151" s="133"/>
      <c r="C151" s="132"/>
      <c r="D151" s="133"/>
      <c r="E151" s="133"/>
      <c r="F151" s="133"/>
      <c r="G151" s="134"/>
      <c r="H151" s="133"/>
      <c r="I151" s="133"/>
      <c r="J151" s="133"/>
      <c r="K151" s="135"/>
      <c r="L151" s="128"/>
      <c r="M151" s="133"/>
      <c r="N151" s="128"/>
      <c r="O151" s="133"/>
      <c r="P151" s="131"/>
      <c r="Q151" s="133"/>
      <c r="R151" s="54"/>
      <c r="S151" s="134"/>
      <c r="T151" s="133"/>
      <c r="U151" s="149"/>
      <c r="V151" s="134"/>
      <c r="W151" s="136"/>
      <c r="X151" s="136"/>
      <c r="Y151" s="134"/>
      <c r="Z151" s="136"/>
      <c r="AA151" s="128"/>
      <c r="AB151" s="134"/>
      <c r="AC151" s="133"/>
      <c r="AD151" s="133"/>
      <c r="AE151" s="128"/>
      <c r="AF151" s="133"/>
    </row>
    <row r="152" spans="1:32" ht="12.75" customHeight="1" hidden="1">
      <c r="A152" s="133"/>
      <c r="B152" s="133"/>
      <c r="C152" s="132"/>
      <c r="D152" s="133"/>
      <c r="E152" s="133"/>
      <c r="F152" s="133"/>
      <c r="G152" s="134"/>
      <c r="H152" s="133"/>
      <c r="I152" s="133"/>
      <c r="J152" s="133"/>
      <c r="K152" s="135"/>
      <c r="L152" s="128"/>
      <c r="M152" s="133"/>
      <c r="N152" s="128"/>
      <c r="O152" s="133"/>
      <c r="P152" s="131"/>
      <c r="Q152" s="133"/>
      <c r="R152" s="54"/>
      <c r="S152" s="134"/>
      <c r="T152" s="133"/>
      <c r="U152" s="149"/>
      <c r="V152" s="134"/>
      <c r="W152" s="136"/>
      <c r="X152" s="136"/>
      <c r="Y152" s="134"/>
      <c r="Z152" s="136"/>
      <c r="AA152" s="128"/>
      <c r="AB152" s="134"/>
      <c r="AC152" s="133"/>
      <c r="AD152" s="133"/>
      <c r="AE152" s="128"/>
      <c r="AF152" s="133"/>
    </row>
    <row r="153" spans="1:32" ht="12.75" customHeight="1" hidden="1">
      <c r="A153" s="133"/>
      <c r="B153" s="133"/>
      <c r="C153" s="132"/>
      <c r="D153" s="133"/>
      <c r="E153" s="133"/>
      <c r="F153" s="133"/>
      <c r="G153" s="134"/>
      <c r="H153" s="133"/>
      <c r="I153" s="133"/>
      <c r="J153" s="133"/>
      <c r="K153" s="135"/>
      <c r="L153" s="128"/>
      <c r="M153" s="133"/>
      <c r="N153" s="128"/>
      <c r="O153" s="133"/>
      <c r="P153" s="131"/>
      <c r="Q153" s="133"/>
      <c r="R153" s="54"/>
      <c r="S153" s="134"/>
      <c r="T153" s="133"/>
      <c r="U153" s="149"/>
      <c r="V153" s="134"/>
      <c r="W153" s="136"/>
      <c r="X153" s="136"/>
      <c r="Y153" s="134"/>
      <c r="Z153" s="136"/>
      <c r="AA153" s="128"/>
      <c r="AB153" s="134"/>
      <c r="AC153" s="133"/>
      <c r="AD153" s="133"/>
      <c r="AE153" s="128"/>
      <c r="AF153" s="133"/>
    </row>
    <row r="154" spans="1:32" ht="12.75" customHeight="1" hidden="1">
      <c r="A154" s="133"/>
      <c r="B154" s="133"/>
      <c r="C154" s="132"/>
      <c r="D154" s="133"/>
      <c r="E154" s="133"/>
      <c r="F154" s="133"/>
      <c r="G154" s="134"/>
      <c r="H154" s="133"/>
      <c r="I154" s="133"/>
      <c r="J154" s="133"/>
      <c r="K154" s="135"/>
      <c r="L154" s="128"/>
      <c r="M154" s="133"/>
      <c r="N154" s="128"/>
      <c r="O154" s="133"/>
      <c r="P154" s="131"/>
      <c r="Q154" s="133"/>
      <c r="R154" s="54"/>
      <c r="S154" s="134"/>
      <c r="T154" s="133"/>
      <c r="U154" s="149"/>
      <c r="V154" s="134"/>
      <c r="W154" s="136"/>
      <c r="X154" s="136"/>
      <c r="Y154" s="134"/>
      <c r="Z154" s="136"/>
      <c r="AA154" s="128"/>
      <c r="AB154" s="134"/>
      <c r="AC154" s="133"/>
      <c r="AD154" s="133"/>
      <c r="AE154" s="128"/>
      <c r="AF154" s="133"/>
    </row>
    <row r="155" spans="1:32" ht="12.75" customHeight="1" hidden="1">
      <c r="A155" s="133"/>
      <c r="B155" s="133"/>
      <c r="C155" s="132"/>
      <c r="D155" s="133"/>
      <c r="E155" s="133"/>
      <c r="F155" s="133"/>
      <c r="G155" s="134"/>
      <c r="H155" s="133"/>
      <c r="I155" s="133"/>
      <c r="J155" s="133"/>
      <c r="K155" s="135"/>
      <c r="L155" s="128"/>
      <c r="M155" s="133"/>
      <c r="N155" s="128"/>
      <c r="O155" s="133"/>
      <c r="P155" s="131"/>
      <c r="Q155" s="133"/>
      <c r="R155" s="54"/>
      <c r="S155" s="134"/>
      <c r="T155" s="133"/>
      <c r="U155" s="149"/>
      <c r="V155" s="134"/>
      <c r="W155" s="136"/>
      <c r="X155" s="136"/>
      <c r="Y155" s="134"/>
      <c r="Z155" s="136"/>
      <c r="AA155" s="128"/>
      <c r="AB155" s="134"/>
      <c r="AC155" s="133"/>
      <c r="AD155" s="133"/>
      <c r="AE155" s="128"/>
      <c r="AF155" s="133"/>
    </row>
    <row r="156" spans="1:32" ht="12.75" customHeight="1" hidden="1">
      <c r="A156" s="133"/>
      <c r="B156" s="133"/>
      <c r="C156" s="132"/>
      <c r="D156" s="133"/>
      <c r="E156" s="133"/>
      <c r="F156" s="133"/>
      <c r="G156" s="134"/>
      <c r="H156" s="133"/>
      <c r="I156" s="133"/>
      <c r="J156" s="133"/>
      <c r="K156" s="135"/>
      <c r="L156" s="128"/>
      <c r="M156" s="133"/>
      <c r="N156" s="128"/>
      <c r="O156" s="133"/>
      <c r="P156" s="131"/>
      <c r="Q156" s="133"/>
      <c r="R156" s="54"/>
      <c r="S156" s="134"/>
      <c r="T156" s="133"/>
      <c r="U156" s="149"/>
      <c r="V156" s="134"/>
      <c r="W156" s="136"/>
      <c r="X156" s="136"/>
      <c r="Y156" s="134"/>
      <c r="Z156" s="136"/>
      <c r="AA156" s="128"/>
      <c r="AB156" s="134"/>
      <c r="AC156" s="133"/>
      <c r="AD156" s="133"/>
      <c r="AE156" s="128"/>
      <c r="AF156" s="133"/>
    </row>
    <row r="157" spans="1:32" ht="12.75" customHeight="1" hidden="1">
      <c r="A157" s="133"/>
      <c r="B157" s="133"/>
      <c r="C157" s="132"/>
      <c r="D157" s="133"/>
      <c r="E157" s="133"/>
      <c r="F157" s="133"/>
      <c r="G157" s="134"/>
      <c r="H157" s="133"/>
      <c r="I157" s="133"/>
      <c r="J157" s="133"/>
      <c r="K157" s="135"/>
      <c r="L157" s="128"/>
      <c r="M157" s="133"/>
      <c r="N157" s="128"/>
      <c r="O157" s="133"/>
      <c r="P157" s="131"/>
      <c r="Q157" s="133"/>
      <c r="R157" s="54"/>
      <c r="S157" s="134"/>
      <c r="T157" s="133"/>
      <c r="U157" s="149"/>
      <c r="V157" s="134"/>
      <c r="W157" s="136"/>
      <c r="X157" s="136"/>
      <c r="Y157" s="134"/>
      <c r="Z157" s="136"/>
      <c r="AA157" s="128"/>
      <c r="AB157" s="134"/>
      <c r="AC157" s="133"/>
      <c r="AD157" s="133"/>
      <c r="AE157" s="128"/>
      <c r="AF157" s="133"/>
    </row>
    <row r="158" spans="1:32" ht="12.75" customHeight="1" hidden="1">
      <c r="A158" s="133"/>
      <c r="B158" s="133"/>
      <c r="C158" s="132"/>
      <c r="D158" s="133"/>
      <c r="E158" s="133"/>
      <c r="F158" s="133"/>
      <c r="G158" s="134"/>
      <c r="H158" s="133"/>
      <c r="I158" s="133"/>
      <c r="J158" s="133"/>
      <c r="K158" s="135"/>
      <c r="L158" s="128"/>
      <c r="M158" s="133"/>
      <c r="N158" s="128"/>
      <c r="O158" s="133"/>
      <c r="P158" s="131"/>
      <c r="Q158" s="133"/>
      <c r="R158" s="54"/>
      <c r="S158" s="134"/>
      <c r="T158" s="133"/>
      <c r="U158" s="149"/>
      <c r="V158" s="134"/>
      <c r="W158" s="136"/>
      <c r="X158" s="136"/>
      <c r="Y158" s="134"/>
      <c r="Z158" s="136"/>
      <c r="AA158" s="128"/>
      <c r="AB158" s="134"/>
      <c r="AC158" s="133"/>
      <c r="AD158" s="133"/>
      <c r="AE158" s="128"/>
      <c r="AF158" s="133"/>
    </row>
    <row r="159" spans="1:32" ht="12.75" customHeight="1" hidden="1">
      <c r="A159" s="133"/>
      <c r="B159" s="133"/>
      <c r="C159" s="132"/>
      <c r="D159" s="133"/>
      <c r="E159" s="133"/>
      <c r="F159" s="133"/>
      <c r="G159" s="134"/>
      <c r="H159" s="133"/>
      <c r="I159" s="133"/>
      <c r="J159" s="133"/>
      <c r="K159" s="135"/>
      <c r="L159" s="128"/>
      <c r="M159" s="133"/>
      <c r="N159" s="128"/>
      <c r="O159" s="133"/>
      <c r="P159" s="131"/>
      <c r="Q159" s="133"/>
      <c r="R159" s="54"/>
      <c r="S159" s="134"/>
      <c r="T159" s="133"/>
      <c r="U159" s="149"/>
      <c r="V159" s="134"/>
      <c r="W159" s="136"/>
      <c r="X159" s="136"/>
      <c r="Y159" s="134"/>
      <c r="Z159" s="136"/>
      <c r="AA159" s="128"/>
      <c r="AB159" s="134"/>
      <c r="AC159" s="133"/>
      <c r="AD159" s="133"/>
      <c r="AE159" s="128"/>
      <c r="AF159" s="133"/>
    </row>
    <row r="160" spans="1:32" ht="12.75" customHeight="1" hidden="1">
      <c r="A160" s="133"/>
      <c r="B160" s="133"/>
      <c r="C160" s="132"/>
      <c r="D160" s="133"/>
      <c r="E160" s="133"/>
      <c r="F160" s="133"/>
      <c r="G160" s="134"/>
      <c r="H160" s="133"/>
      <c r="I160" s="133"/>
      <c r="J160" s="133"/>
      <c r="K160" s="135"/>
      <c r="L160" s="128"/>
      <c r="M160" s="133"/>
      <c r="N160" s="128"/>
      <c r="O160" s="133"/>
      <c r="P160" s="131"/>
      <c r="Q160" s="133"/>
      <c r="R160" s="54"/>
      <c r="S160" s="134"/>
      <c r="T160" s="133"/>
      <c r="U160" s="149"/>
      <c r="V160" s="134"/>
      <c r="W160" s="136"/>
      <c r="X160" s="136"/>
      <c r="Y160" s="134"/>
      <c r="Z160" s="136"/>
      <c r="AA160" s="128"/>
      <c r="AB160" s="134"/>
      <c r="AC160" s="133"/>
      <c r="AD160" s="133"/>
      <c r="AE160" s="128"/>
      <c r="AF160" s="133"/>
    </row>
    <row r="161" spans="1:32" ht="12.75" customHeight="1" hidden="1">
      <c r="A161" s="133"/>
      <c r="B161" s="133"/>
      <c r="C161" s="132"/>
      <c r="D161" s="133"/>
      <c r="E161" s="133"/>
      <c r="F161" s="133"/>
      <c r="G161" s="134"/>
      <c r="H161" s="133"/>
      <c r="I161" s="133"/>
      <c r="J161" s="133"/>
      <c r="K161" s="135"/>
      <c r="L161" s="128"/>
      <c r="M161" s="133"/>
      <c r="N161" s="128"/>
      <c r="O161" s="133"/>
      <c r="P161" s="131"/>
      <c r="Q161" s="133"/>
      <c r="R161" s="54"/>
      <c r="S161" s="134"/>
      <c r="T161" s="133"/>
      <c r="U161" s="149"/>
      <c r="V161" s="134"/>
      <c r="W161" s="136"/>
      <c r="X161" s="136"/>
      <c r="Y161" s="134"/>
      <c r="Z161" s="136"/>
      <c r="AA161" s="128"/>
      <c r="AB161" s="134"/>
      <c r="AC161" s="133"/>
      <c r="AD161" s="133"/>
      <c r="AE161" s="128"/>
      <c r="AF161" s="133"/>
    </row>
    <row r="162" spans="1:32" ht="12.75" customHeight="1" hidden="1">
      <c r="A162" s="133"/>
      <c r="B162" s="133"/>
      <c r="C162" s="132"/>
      <c r="D162" s="133"/>
      <c r="E162" s="133"/>
      <c r="F162" s="133"/>
      <c r="G162" s="134"/>
      <c r="H162" s="133"/>
      <c r="I162" s="133"/>
      <c r="J162" s="133"/>
      <c r="K162" s="135"/>
      <c r="L162" s="128"/>
      <c r="M162" s="133"/>
      <c r="N162" s="128"/>
      <c r="O162" s="133"/>
      <c r="P162" s="131"/>
      <c r="Q162" s="133"/>
      <c r="R162" s="54"/>
      <c r="S162" s="134"/>
      <c r="T162" s="133"/>
      <c r="U162" s="149"/>
      <c r="V162" s="134"/>
      <c r="W162" s="136"/>
      <c r="X162" s="136"/>
      <c r="Y162" s="134"/>
      <c r="Z162" s="136"/>
      <c r="AA162" s="128"/>
      <c r="AB162" s="134"/>
      <c r="AC162" s="133"/>
      <c r="AD162" s="133"/>
      <c r="AE162" s="128"/>
      <c r="AF162" s="133"/>
    </row>
    <row r="163" spans="1:32" ht="12.75" customHeight="1" hidden="1">
      <c r="A163" s="133"/>
      <c r="B163" s="133"/>
      <c r="C163" s="132"/>
      <c r="D163" s="133"/>
      <c r="E163" s="133"/>
      <c r="F163" s="133"/>
      <c r="G163" s="134"/>
      <c r="H163" s="133"/>
      <c r="I163" s="133"/>
      <c r="J163" s="133"/>
      <c r="K163" s="135"/>
      <c r="L163" s="128"/>
      <c r="M163" s="133"/>
      <c r="N163" s="128"/>
      <c r="O163" s="133"/>
      <c r="P163" s="131"/>
      <c r="Q163" s="133"/>
      <c r="R163" s="54"/>
      <c r="S163" s="134"/>
      <c r="T163" s="133"/>
      <c r="U163" s="149"/>
      <c r="V163" s="134"/>
      <c r="W163" s="136"/>
      <c r="X163" s="136"/>
      <c r="Y163" s="134"/>
      <c r="Z163" s="136"/>
      <c r="AA163" s="128"/>
      <c r="AB163" s="134"/>
      <c r="AC163" s="133"/>
      <c r="AD163" s="133"/>
      <c r="AE163" s="128"/>
      <c r="AF163" s="133"/>
    </row>
    <row r="164" spans="1:32" ht="12.75" customHeight="1" hidden="1">
      <c r="A164" s="133"/>
      <c r="B164" s="133"/>
      <c r="C164" s="132"/>
      <c r="D164" s="133"/>
      <c r="E164" s="133"/>
      <c r="F164" s="133"/>
      <c r="G164" s="134"/>
      <c r="H164" s="133"/>
      <c r="I164" s="133"/>
      <c r="J164" s="133"/>
      <c r="K164" s="135"/>
      <c r="L164" s="128"/>
      <c r="M164" s="133"/>
      <c r="N164" s="128"/>
      <c r="O164" s="133"/>
      <c r="P164" s="131"/>
      <c r="Q164" s="133"/>
      <c r="R164" s="54"/>
      <c r="S164" s="134"/>
      <c r="T164" s="133"/>
      <c r="U164" s="149"/>
      <c r="V164" s="134"/>
      <c r="W164" s="136"/>
      <c r="X164" s="136"/>
      <c r="Y164" s="134"/>
      <c r="Z164" s="136"/>
      <c r="AA164" s="128"/>
      <c r="AB164" s="134"/>
      <c r="AC164" s="133"/>
      <c r="AD164" s="133"/>
      <c r="AE164" s="128"/>
      <c r="AF164" s="133"/>
    </row>
    <row r="165" spans="1:32" ht="12.75" customHeight="1" hidden="1">
      <c r="A165" s="133"/>
      <c r="B165" s="133"/>
      <c r="C165" s="132"/>
      <c r="D165" s="133"/>
      <c r="E165" s="133"/>
      <c r="F165" s="133"/>
      <c r="G165" s="134"/>
      <c r="H165" s="133"/>
      <c r="I165" s="133"/>
      <c r="J165" s="133"/>
      <c r="K165" s="135"/>
      <c r="L165" s="128"/>
      <c r="M165" s="133"/>
      <c r="N165" s="128"/>
      <c r="O165" s="133"/>
      <c r="P165" s="131"/>
      <c r="Q165" s="133"/>
      <c r="R165" s="54"/>
      <c r="S165" s="134"/>
      <c r="T165" s="133"/>
      <c r="U165" s="149"/>
      <c r="V165" s="134"/>
      <c r="W165" s="136"/>
      <c r="X165" s="136"/>
      <c r="Y165" s="134"/>
      <c r="Z165" s="136"/>
      <c r="AA165" s="128"/>
      <c r="AB165" s="134"/>
      <c r="AC165" s="133"/>
      <c r="AD165" s="133"/>
      <c r="AE165" s="128"/>
      <c r="AF165" s="133"/>
    </row>
    <row r="166" spans="1:32" ht="12.75" customHeight="1" hidden="1">
      <c r="A166" s="133"/>
      <c r="B166" s="133"/>
      <c r="C166" s="132"/>
      <c r="D166" s="133"/>
      <c r="E166" s="133"/>
      <c r="F166" s="133"/>
      <c r="G166" s="134"/>
      <c r="H166" s="133"/>
      <c r="I166" s="133"/>
      <c r="J166" s="133"/>
      <c r="K166" s="135"/>
      <c r="L166" s="128"/>
      <c r="M166" s="133"/>
      <c r="N166" s="128"/>
      <c r="O166" s="133"/>
      <c r="P166" s="131"/>
      <c r="Q166" s="133"/>
      <c r="R166" s="54"/>
      <c r="S166" s="134"/>
      <c r="T166" s="133"/>
      <c r="U166" s="149"/>
      <c r="V166" s="134"/>
      <c r="W166" s="136"/>
      <c r="X166" s="136"/>
      <c r="Y166" s="134"/>
      <c r="Z166" s="136"/>
      <c r="AA166" s="128"/>
      <c r="AB166" s="134"/>
      <c r="AC166" s="133"/>
      <c r="AD166" s="133"/>
      <c r="AE166" s="128"/>
      <c r="AF166" s="133"/>
    </row>
    <row r="167" spans="1:32" ht="12.75" customHeight="1" hidden="1">
      <c r="A167" s="133"/>
      <c r="B167" s="133"/>
      <c r="C167" s="132"/>
      <c r="D167" s="133"/>
      <c r="E167" s="133"/>
      <c r="F167" s="133"/>
      <c r="G167" s="134"/>
      <c r="H167" s="133"/>
      <c r="I167" s="133"/>
      <c r="J167" s="133"/>
      <c r="K167" s="135"/>
      <c r="L167" s="128"/>
      <c r="M167" s="133"/>
      <c r="N167" s="128"/>
      <c r="O167" s="133"/>
      <c r="P167" s="131"/>
      <c r="Q167" s="133"/>
      <c r="R167" s="54"/>
      <c r="S167" s="134"/>
      <c r="T167" s="133"/>
      <c r="U167" s="149"/>
      <c r="V167" s="134"/>
      <c r="W167" s="136"/>
      <c r="X167" s="136"/>
      <c r="Y167" s="134"/>
      <c r="Z167" s="136"/>
      <c r="AA167" s="128"/>
      <c r="AB167" s="134"/>
      <c r="AC167" s="133"/>
      <c r="AD167" s="133"/>
      <c r="AE167" s="128"/>
      <c r="AF167" s="133"/>
    </row>
    <row r="168" spans="1:32" ht="12.75" customHeight="1" hidden="1">
      <c r="A168" s="133"/>
      <c r="B168" s="133"/>
      <c r="C168" s="132"/>
      <c r="D168" s="133"/>
      <c r="E168" s="133"/>
      <c r="F168" s="133"/>
      <c r="G168" s="134"/>
      <c r="H168" s="133"/>
      <c r="I168" s="133"/>
      <c r="J168" s="133"/>
      <c r="K168" s="135"/>
      <c r="L168" s="128"/>
      <c r="M168" s="133"/>
      <c r="N168" s="128"/>
      <c r="O168" s="133"/>
      <c r="P168" s="131"/>
      <c r="Q168" s="133"/>
      <c r="R168" s="54"/>
      <c r="S168" s="134"/>
      <c r="T168" s="133"/>
      <c r="U168" s="149"/>
      <c r="V168" s="134"/>
      <c r="W168" s="136"/>
      <c r="X168" s="136"/>
      <c r="Y168" s="134"/>
      <c r="Z168" s="136"/>
      <c r="AA168" s="128"/>
      <c r="AB168" s="134"/>
      <c r="AC168" s="133"/>
      <c r="AD168" s="133"/>
      <c r="AE168" s="128"/>
      <c r="AF168" s="133"/>
    </row>
    <row r="169" spans="1:32" ht="12.75" customHeight="1" hidden="1">
      <c r="A169" s="133"/>
      <c r="B169" s="133"/>
      <c r="C169" s="132"/>
      <c r="D169" s="133"/>
      <c r="E169" s="133"/>
      <c r="F169" s="133"/>
      <c r="G169" s="134"/>
      <c r="H169" s="133"/>
      <c r="I169" s="133"/>
      <c r="J169" s="133"/>
      <c r="K169" s="135"/>
      <c r="L169" s="128"/>
      <c r="M169" s="133"/>
      <c r="N169" s="128"/>
      <c r="O169" s="133"/>
      <c r="P169" s="131"/>
      <c r="Q169" s="133"/>
      <c r="R169" s="54"/>
      <c r="S169" s="134"/>
      <c r="T169" s="133"/>
      <c r="U169" s="149"/>
      <c r="V169" s="134"/>
      <c r="W169" s="136"/>
      <c r="X169" s="136"/>
      <c r="Y169" s="134"/>
      <c r="Z169" s="136"/>
      <c r="AA169" s="128"/>
      <c r="AB169" s="134"/>
      <c r="AC169" s="133"/>
      <c r="AD169" s="133"/>
      <c r="AE169" s="128"/>
      <c r="AF169" s="133"/>
    </row>
    <row r="170" spans="1:32" ht="12.75" customHeight="1" hidden="1">
      <c r="A170" s="133"/>
      <c r="B170" s="133"/>
      <c r="C170" s="132"/>
      <c r="D170" s="133"/>
      <c r="E170" s="133"/>
      <c r="F170" s="133"/>
      <c r="G170" s="134"/>
      <c r="H170" s="133"/>
      <c r="I170" s="133"/>
      <c r="J170" s="133"/>
      <c r="K170" s="135"/>
      <c r="L170" s="128"/>
      <c r="M170" s="133"/>
      <c r="N170" s="128"/>
      <c r="O170" s="133"/>
      <c r="P170" s="131"/>
      <c r="Q170" s="133"/>
      <c r="R170" s="54"/>
      <c r="S170" s="134"/>
      <c r="T170" s="133"/>
      <c r="U170" s="149"/>
      <c r="V170" s="134"/>
      <c r="W170" s="136"/>
      <c r="X170" s="136"/>
      <c r="Y170" s="134"/>
      <c r="Z170" s="136"/>
      <c r="AA170" s="128"/>
      <c r="AB170" s="134"/>
      <c r="AC170" s="133"/>
      <c r="AD170" s="133"/>
      <c r="AE170" s="128"/>
      <c r="AF170" s="133"/>
    </row>
    <row r="171" spans="1:32" ht="12.75" customHeight="1" hidden="1">
      <c r="A171" s="133"/>
      <c r="B171" s="133"/>
      <c r="C171" s="132"/>
      <c r="D171" s="133"/>
      <c r="E171" s="133"/>
      <c r="F171" s="133"/>
      <c r="G171" s="134"/>
      <c r="H171" s="133"/>
      <c r="I171" s="133"/>
      <c r="J171" s="133"/>
      <c r="K171" s="135"/>
      <c r="L171" s="128"/>
      <c r="M171" s="133"/>
      <c r="N171" s="128"/>
      <c r="O171" s="133"/>
      <c r="P171" s="131"/>
      <c r="Q171" s="133"/>
      <c r="R171" s="54"/>
      <c r="S171" s="134"/>
      <c r="T171" s="133"/>
      <c r="U171" s="149"/>
      <c r="V171" s="134"/>
      <c r="W171" s="136"/>
      <c r="X171" s="136"/>
      <c r="Y171" s="134"/>
      <c r="Z171" s="136"/>
      <c r="AA171" s="128"/>
      <c r="AB171" s="134"/>
      <c r="AC171" s="133"/>
      <c r="AD171" s="133"/>
      <c r="AE171" s="128"/>
      <c r="AF171" s="133"/>
    </row>
    <row r="172" spans="1:32" ht="12.75" customHeight="1" hidden="1">
      <c r="A172" s="133"/>
      <c r="B172" s="133"/>
      <c r="C172" s="132"/>
      <c r="D172" s="133"/>
      <c r="E172" s="133"/>
      <c r="F172" s="133"/>
      <c r="G172" s="134"/>
      <c r="H172" s="133"/>
      <c r="I172" s="133"/>
      <c r="J172" s="133"/>
      <c r="K172" s="135"/>
      <c r="L172" s="128"/>
      <c r="M172" s="133"/>
      <c r="N172" s="128"/>
      <c r="O172" s="133"/>
      <c r="P172" s="131"/>
      <c r="Q172" s="133"/>
      <c r="R172" s="54"/>
      <c r="S172" s="134"/>
      <c r="T172" s="133"/>
      <c r="U172" s="149"/>
      <c r="V172" s="134"/>
      <c r="W172" s="136"/>
      <c r="X172" s="136"/>
      <c r="Y172" s="134"/>
      <c r="Z172" s="136"/>
      <c r="AA172" s="128"/>
      <c r="AB172" s="134"/>
      <c r="AC172" s="133"/>
      <c r="AD172" s="133"/>
      <c r="AE172" s="128"/>
      <c r="AF172" s="133"/>
    </row>
    <row r="173" spans="1:32" ht="12.75" customHeight="1" hidden="1">
      <c r="A173" s="133"/>
      <c r="B173" s="133"/>
      <c r="C173" s="132"/>
      <c r="D173" s="133"/>
      <c r="E173" s="133"/>
      <c r="F173" s="133"/>
      <c r="G173" s="134"/>
      <c r="H173" s="133"/>
      <c r="I173" s="133"/>
      <c r="J173" s="133"/>
      <c r="K173" s="135"/>
      <c r="L173" s="128"/>
      <c r="M173" s="133"/>
      <c r="N173" s="128"/>
      <c r="O173" s="133"/>
      <c r="P173" s="131"/>
      <c r="Q173" s="133"/>
      <c r="R173" s="54"/>
      <c r="S173" s="134"/>
      <c r="T173" s="133"/>
      <c r="U173" s="149"/>
      <c r="V173" s="134"/>
      <c r="W173" s="136"/>
      <c r="X173" s="136"/>
      <c r="Y173" s="134"/>
      <c r="Z173" s="136"/>
      <c r="AA173" s="128"/>
      <c r="AB173" s="134"/>
      <c r="AC173" s="133"/>
      <c r="AD173" s="133"/>
      <c r="AE173" s="128"/>
      <c r="AF173" s="133"/>
    </row>
    <row r="174" spans="1:32" ht="12.75" customHeight="1" hidden="1">
      <c r="A174" s="133"/>
      <c r="B174" s="133"/>
      <c r="C174" s="132"/>
      <c r="D174" s="133"/>
      <c r="E174" s="133"/>
      <c r="F174" s="133"/>
      <c r="G174" s="134"/>
      <c r="H174" s="133"/>
      <c r="I174" s="133"/>
      <c r="J174" s="133"/>
      <c r="K174" s="135"/>
      <c r="L174" s="128"/>
      <c r="M174" s="133"/>
      <c r="N174" s="128"/>
      <c r="O174" s="133"/>
      <c r="P174" s="131"/>
      <c r="Q174" s="133"/>
      <c r="R174" s="54"/>
      <c r="S174" s="134"/>
      <c r="T174" s="133"/>
      <c r="U174" s="149"/>
      <c r="V174" s="134"/>
      <c r="W174" s="136"/>
      <c r="X174" s="136"/>
      <c r="Y174" s="134"/>
      <c r="Z174" s="136"/>
      <c r="AA174" s="128"/>
      <c r="AB174" s="134"/>
      <c r="AC174" s="133"/>
      <c r="AD174" s="133"/>
      <c r="AE174" s="128"/>
      <c r="AF174" s="133"/>
    </row>
    <row r="175" spans="1:32" ht="12.75" customHeight="1" hidden="1">
      <c r="A175" s="133"/>
      <c r="B175" s="133"/>
      <c r="C175" s="132"/>
      <c r="D175" s="133"/>
      <c r="E175" s="133"/>
      <c r="F175" s="133"/>
      <c r="G175" s="134"/>
      <c r="H175" s="133"/>
      <c r="I175" s="133"/>
      <c r="J175" s="133"/>
      <c r="K175" s="135"/>
      <c r="L175" s="128"/>
      <c r="M175" s="133"/>
      <c r="N175" s="128"/>
      <c r="O175" s="133"/>
      <c r="P175" s="131"/>
      <c r="Q175" s="133"/>
      <c r="R175" s="54"/>
      <c r="S175" s="134"/>
      <c r="T175" s="133"/>
      <c r="U175" s="149"/>
      <c r="V175" s="134"/>
      <c r="W175" s="136"/>
      <c r="X175" s="136"/>
      <c r="Y175" s="134"/>
      <c r="Z175" s="136"/>
      <c r="AA175" s="128"/>
      <c r="AB175" s="134"/>
      <c r="AC175" s="133"/>
      <c r="AD175" s="133"/>
      <c r="AE175" s="128"/>
      <c r="AF175" s="133"/>
    </row>
    <row r="176" spans="1:32" ht="12.75" customHeight="1" hidden="1">
      <c r="A176" s="133"/>
      <c r="B176" s="133"/>
      <c r="C176" s="132"/>
      <c r="D176" s="133"/>
      <c r="E176" s="133"/>
      <c r="F176" s="133"/>
      <c r="G176" s="134"/>
      <c r="H176" s="133"/>
      <c r="I176" s="133"/>
      <c r="J176" s="133"/>
      <c r="K176" s="135"/>
      <c r="L176" s="128"/>
      <c r="M176" s="133"/>
      <c r="N176" s="128"/>
      <c r="O176" s="133"/>
      <c r="P176" s="131"/>
      <c r="Q176" s="133"/>
      <c r="R176" s="54"/>
      <c r="S176" s="134"/>
      <c r="T176" s="133"/>
      <c r="U176" s="149"/>
      <c r="V176" s="134"/>
      <c r="W176" s="136"/>
      <c r="X176" s="136"/>
      <c r="Y176" s="134"/>
      <c r="Z176" s="136"/>
      <c r="AA176" s="128"/>
      <c r="AB176" s="134"/>
      <c r="AC176" s="133"/>
      <c r="AD176" s="133"/>
      <c r="AE176" s="128"/>
      <c r="AF176" s="133"/>
    </row>
    <row r="177" spans="1:32" ht="12.75" customHeight="1" hidden="1">
      <c r="A177" s="133"/>
      <c r="B177" s="133"/>
      <c r="C177" s="132"/>
      <c r="D177" s="133"/>
      <c r="E177" s="133"/>
      <c r="F177" s="133"/>
      <c r="G177" s="134"/>
      <c r="H177" s="133"/>
      <c r="I177" s="133"/>
      <c r="J177" s="133"/>
      <c r="K177" s="135"/>
      <c r="L177" s="128"/>
      <c r="M177" s="133"/>
      <c r="N177" s="128"/>
      <c r="O177" s="133"/>
      <c r="P177" s="131"/>
      <c r="Q177" s="133"/>
      <c r="R177" s="54"/>
      <c r="S177" s="134"/>
      <c r="T177" s="133"/>
      <c r="U177" s="149"/>
      <c r="V177" s="134"/>
      <c r="W177" s="136"/>
      <c r="X177" s="136"/>
      <c r="Y177" s="134"/>
      <c r="Z177" s="136"/>
      <c r="AA177" s="128"/>
      <c r="AB177" s="134"/>
      <c r="AC177" s="133"/>
      <c r="AD177" s="133"/>
      <c r="AE177" s="128"/>
      <c r="AF177" s="133"/>
    </row>
    <row r="178" spans="1:32" ht="12.75" customHeight="1" hidden="1">
      <c r="A178" s="133"/>
      <c r="B178" s="133"/>
      <c r="C178" s="132"/>
      <c r="D178" s="133"/>
      <c r="E178" s="133"/>
      <c r="F178" s="133"/>
      <c r="G178" s="134"/>
      <c r="H178" s="133"/>
      <c r="I178" s="133"/>
      <c r="J178" s="133"/>
      <c r="K178" s="135"/>
      <c r="L178" s="128"/>
      <c r="M178" s="133"/>
      <c r="N178" s="128"/>
      <c r="O178" s="133"/>
      <c r="P178" s="131"/>
      <c r="Q178" s="133"/>
      <c r="R178" s="54"/>
      <c r="S178" s="134"/>
      <c r="T178" s="133"/>
      <c r="U178" s="149"/>
      <c r="V178" s="134"/>
      <c r="W178" s="136"/>
      <c r="X178" s="136"/>
      <c r="Y178" s="134"/>
      <c r="Z178" s="136"/>
      <c r="AA178" s="128"/>
      <c r="AB178" s="134"/>
      <c r="AC178" s="133"/>
      <c r="AD178" s="133"/>
      <c r="AE178" s="128"/>
      <c r="AF178" s="133"/>
    </row>
    <row r="179" spans="1:32" ht="12.75" customHeight="1" hidden="1">
      <c r="A179" s="133"/>
      <c r="B179" s="133"/>
      <c r="C179" s="132"/>
      <c r="D179" s="133"/>
      <c r="E179" s="133"/>
      <c r="F179" s="133"/>
      <c r="G179" s="134"/>
      <c r="H179" s="133"/>
      <c r="I179" s="133"/>
      <c r="J179" s="133"/>
      <c r="K179" s="135"/>
      <c r="L179" s="128"/>
      <c r="M179" s="133"/>
      <c r="N179" s="128"/>
      <c r="O179" s="133"/>
      <c r="P179" s="131"/>
      <c r="Q179" s="133"/>
      <c r="R179" s="54"/>
      <c r="S179" s="134"/>
      <c r="T179" s="133"/>
      <c r="U179" s="149"/>
      <c r="V179" s="134"/>
      <c r="W179" s="136"/>
      <c r="X179" s="136"/>
      <c r="Y179" s="134"/>
      <c r="Z179" s="136"/>
      <c r="AA179" s="128"/>
      <c r="AB179" s="134"/>
      <c r="AC179" s="133"/>
      <c r="AD179" s="133"/>
      <c r="AE179" s="128"/>
      <c r="AF179" s="133"/>
    </row>
    <row r="180" spans="1:32" ht="12.75" customHeight="1" hidden="1">
      <c r="A180" s="133"/>
      <c r="B180" s="133"/>
      <c r="C180" s="132"/>
      <c r="D180" s="133"/>
      <c r="E180" s="133"/>
      <c r="F180" s="133"/>
      <c r="G180" s="134"/>
      <c r="H180" s="133"/>
      <c r="I180" s="133"/>
      <c r="J180" s="133"/>
      <c r="K180" s="135"/>
      <c r="L180" s="128"/>
      <c r="M180" s="133"/>
      <c r="N180" s="128"/>
      <c r="O180" s="133"/>
      <c r="P180" s="131"/>
      <c r="Q180" s="133"/>
      <c r="R180" s="54"/>
      <c r="S180" s="134"/>
      <c r="T180" s="133"/>
      <c r="U180" s="149"/>
      <c r="V180" s="134"/>
      <c r="W180" s="136"/>
      <c r="X180" s="136"/>
      <c r="Y180" s="134"/>
      <c r="Z180" s="136"/>
      <c r="AA180" s="128"/>
      <c r="AB180" s="134"/>
      <c r="AC180" s="133"/>
      <c r="AD180" s="133"/>
      <c r="AE180" s="128"/>
      <c r="AF180" s="133"/>
    </row>
    <row r="181" spans="1:32" ht="12.75" customHeight="1" hidden="1">
      <c r="A181" s="133"/>
      <c r="B181" s="133"/>
      <c r="C181" s="132"/>
      <c r="D181" s="133"/>
      <c r="E181" s="133"/>
      <c r="F181" s="133"/>
      <c r="G181" s="134"/>
      <c r="H181" s="133"/>
      <c r="I181" s="133"/>
      <c r="J181" s="133"/>
      <c r="K181" s="135"/>
      <c r="L181" s="128"/>
      <c r="M181" s="133"/>
      <c r="N181" s="128"/>
      <c r="O181" s="133"/>
      <c r="P181" s="131"/>
      <c r="Q181" s="133"/>
      <c r="R181" s="54"/>
      <c r="S181" s="134"/>
      <c r="T181" s="133"/>
      <c r="U181" s="149"/>
      <c r="V181" s="134"/>
      <c r="W181" s="136"/>
      <c r="X181" s="136"/>
      <c r="Y181" s="134"/>
      <c r="Z181" s="136"/>
      <c r="AA181" s="128"/>
      <c r="AB181" s="134"/>
      <c r="AC181" s="133"/>
      <c r="AD181" s="133"/>
      <c r="AE181" s="128"/>
      <c r="AF181" s="133"/>
    </row>
    <row r="182" spans="1:32" ht="12.75" customHeight="1" hidden="1">
      <c r="A182" s="133"/>
      <c r="B182" s="133"/>
      <c r="C182" s="132"/>
      <c r="D182" s="133"/>
      <c r="E182" s="133"/>
      <c r="F182" s="133"/>
      <c r="G182" s="134"/>
      <c r="H182" s="133"/>
      <c r="I182" s="133"/>
      <c r="J182" s="133"/>
      <c r="K182" s="135"/>
      <c r="L182" s="128"/>
      <c r="M182" s="133"/>
      <c r="N182" s="128"/>
      <c r="O182" s="133"/>
      <c r="P182" s="131"/>
      <c r="Q182" s="133"/>
      <c r="R182" s="54"/>
      <c r="S182" s="134"/>
      <c r="T182" s="133"/>
      <c r="U182" s="149"/>
      <c r="V182" s="134"/>
      <c r="W182" s="136"/>
      <c r="X182" s="136"/>
      <c r="Y182" s="134"/>
      <c r="Z182" s="136"/>
      <c r="AA182" s="128"/>
      <c r="AB182" s="134"/>
      <c r="AC182" s="133"/>
      <c r="AD182" s="133"/>
      <c r="AE182" s="128"/>
      <c r="AF182" s="133"/>
    </row>
    <row r="183" spans="1:32" ht="12.75" customHeight="1" hidden="1">
      <c r="A183" s="133"/>
      <c r="B183" s="133"/>
      <c r="C183" s="132"/>
      <c r="D183" s="133"/>
      <c r="E183" s="133"/>
      <c r="F183" s="133"/>
      <c r="G183" s="134"/>
      <c r="H183" s="133"/>
      <c r="I183" s="133"/>
      <c r="J183" s="133"/>
      <c r="K183" s="135"/>
      <c r="L183" s="128"/>
      <c r="M183" s="133"/>
      <c r="N183" s="128"/>
      <c r="O183" s="133"/>
      <c r="P183" s="131"/>
      <c r="Q183" s="133"/>
      <c r="R183" s="54"/>
      <c r="S183" s="134"/>
      <c r="T183" s="133"/>
      <c r="U183" s="149"/>
      <c r="V183" s="134"/>
      <c r="W183" s="136"/>
      <c r="X183" s="136"/>
      <c r="Y183" s="134"/>
      <c r="Z183" s="136"/>
      <c r="AA183" s="128"/>
      <c r="AB183" s="134"/>
      <c r="AC183" s="133"/>
      <c r="AD183" s="133"/>
      <c r="AE183" s="128"/>
      <c r="AF183" s="133"/>
    </row>
    <row r="184" spans="1:32" ht="12.75" customHeight="1" hidden="1">
      <c r="A184" s="133"/>
      <c r="B184" s="133"/>
      <c r="C184" s="132"/>
      <c r="D184" s="133"/>
      <c r="E184" s="133"/>
      <c r="F184" s="133"/>
      <c r="G184" s="134"/>
      <c r="H184" s="133"/>
      <c r="I184" s="133"/>
      <c r="J184" s="133"/>
      <c r="K184" s="135"/>
      <c r="L184" s="128"/>
      <c r="M184" s="133"/>
      <c r="N184" s="128"/>
      <c r="O184" s="133"/>
      <c r="P184" s="131"/>
      <c r="Q184" s="133"/>
      <c r="R184" s="54"/>
      <c r="S184" s="134"/>
      <c r="T184" s="133"/>
      <c r="U184" s="149"/>
      <c r="V184" s="134"/>
      <c r="W184" s="136"/>
      <c r="X184" s="136"/>
      <c r="Y184" s="134"/>
      <c r="Z184" s="136"/>
      <c r="AA184" s="128"/>
      <c r="AB184" s="134"/>
      <c r="AC184" s="133"/>
      <c r="AD184" s="133"/>
      <c r="AE184" s="128"/>
      <c r="AF184" s="133"/>
    </row>
    <row r="185" spans="1:32" ht="12.75" customHeight="1" hidden="1">
      <c r="A185" s="133"/>
      <c r="B185" s="133"/>
      <c r="C185" s="132"/>
      <c r="D185" s="133"/>
      <c r="E185" s="133"/>
      <c r="F185" s="133"/>
      <c r="G185" s="134"/>
      <c r="H185" s="133"/>
      <c r="I185" s="133"/>
      <c r="J185" s="133"/>
      <c r="K185" s="135"/>
      <c r="L185" s="128"/>
      <c r="M185" s="133"/>
      <c r="N185" s="128"/>
      <c r="O185" s="133"/>
      <c r="P185" s="131"/>
      <c r="Q185" s="133"/>
      <c r="R185" s="54"/>
      <c r="S185" s="134"/>
      <c r="T185" s="133"/>
      <c r="U185" s="149"/>
      <c r="V185" s="134"/>
      <c r="W185" s="136"/>
      <c r="X185" s="136"/>
      <c r="Y185" s="134"/>
      <c r="Z185" s="136"/>
      <c r="AA185" s="128"/>
      <c r="AB185" s="134"/>
      <c r="AC185" s="133"/>
      <c r="AD185" s="133"/>
      <c r="AE185" s="128"/>
      <c r="AF185" s="133"/>
    </row>
    <row r="186" spans="1:32" ht="12.75" customHeight="1" hidden="1">
      <c r="A186" s="133"/>
      <c r="B186" s="133"/>
      <c r="C186" s="132"/>
      <c r="D186" s="133"/>
      <c r="E186" s="133"/>
      <c r="F186" s="133"/>
      <c r="G186" s="134"/>
      <c r="H186" s="133"/>
      <c r="I186" s="133"/>
      <c r="J186" s="133"/>
      <c r="K186" s="135"/>
      <c r="L186" s="128"/>
      <c r="M186" s="133"/>
      <c r="N186" s="128"/>
      <c r="O186" s="133"/>
      <c r="P186" s="131"/>
      <c r="Q186" s="133"/>
      <c r="R186" s="54"/>
      <c r="S186" s="134"/>
      <c r="T186" s="133"/>
      <c r="U186" s="149"/>
      <c r="V186" s="134"/>
      <c r="W186" s="136"/>
      <c r="X186" s="136"/>
      <c r="Y186" s="134"/>
      <c r="Z186" s="136"/>
      <c r="AA186" s="128"/>
      <c r="AB186" s="134"/>
      <c r="AC186" s="133"/>
      <c r="AD186" s="133"/>
      <c r="AE186" s="128"/>
      <c r="AF186" s="133"/>
    </row>
    <row r="187" spans="1:32" ht="12.75" customHeight="1" hidden="1">
      <c r="A187" s="133"/>
      <c r="B187" s="133"/>
      <c r="C187" s="132"/>
      <c r="D187" s="133"/>
      <c r="E187" s="133"/>
      <c r="F187" s="133"/>
      <c r="G187" s="134"/>
      <c r="H187" s="133"/>
      <c r="I187" s="133"/>
      <c r="J187" s="133"/>
      <c r="K187" s="135"/>
      <c r="L187" s="128"/>
      <c r="M187" s="133"/>
      <c r="N187" s="128"/>
      <c r="O187" s="133"/>
      <c r="P187" s="131"/>
      <c r="Q187" s="133"/>
      <c r="R187" s="54"/>
      <c r="S187" s="134"/>
      <c r="T187" s="133"/>
      <c r="U187" s="149"/>
      <c r="V187" s="134"/>
      <c r="W187" s="136"/>
      <c r="X187" s="136"/>
      <c r="Y187" s="134"/>
      <c r="Z187" s="136"/>
      <c r="AA187" s="128"/>
      <c r="AB187" s="134"/>
      <c r="AC187" s="133"/>
      <c r="AD187" s="133"/>
      <c r="AE187" s="128"/>
      <c r="AF187" s="133"/>
    </row>
    <row r="188" spans="1:32" ht="12.75" customHeight="1" hidden="1">
      <c r="A188" s="133"/>
      <c r="B188" s="133"/>
      <c r="C188" s="132"/>
      <c r="D188" s="133"/>
      <c r="E188" s="133"/>
      <c r="F188" s="133"/>
      <c r="G188" s="134"/>
      <c r="H188" s="133"/>
      <c r="I188" s="133"/>
      <c r="J188" s="133"/>
      <c r="K188" s="135"/>
      <c r="L188" s="128"/>
      <c r="M188" s="133"/>
      <c r="N188" s="128"/>
      <c r="O188" s="133"/>
      <c r="P188" s="131"/>
      <c r="Q188" s="133"/>
      <c r="R188" s="54"/>
      <c r="S188" s="134"/>
      <c r="T188" s="133"/>
      <c r="U188" s="149"/>
      <c r="V188" s="134"/>
      <c r="W188" s="136"/>
      <c r="X188" s="136"/>
      <c r="Y188" s="134"/>
      <c r="Z188" s="136"/>
      <c r="AA188" s="128"/>
      <c r="AB188" s="134"/>
      <c r="AC188" s="133"/>
      <c r="AD188" s="133"/>
      <c r="AE188" s="128"/>
      <c r="AF188" s="133"/>
    </row>
    <row r="189" spans="1:32" ht="12.75" customHeight="1" hidden="1">
      <c r="A189" s="133"/>
      <c r="B189" s="133"/>
      <c r="C189" s="132"/>
      <c r="D189" s="133"/>
      <c r="E189" s="133"/>
      <c r="F189" s="133"/>
      <c r="G189" s="134"/>
      <c r="H189" s="133"/>
      <c r="I189" s="133"/>
      <c r="J189" s="133"/>
      <c r="K189" s="135"/>
      <c r="L189" s="128"/>
      <c r="M189" s="133"/>
      <c r="N189" s="128"/>
      <c r="O189" s="133"/>
      <c r="P189" s="131"/>
      <c r="Q189" s="133"/>
      <c r="R189" s="54"/>
      <c r="S189" s="134"/>
      <c r="T189" s="133"/>
      <c r="U189" s="149"/>
      <c r="V189" s="134"/>
      <c r="W189" s="136"/>
      <c r="X189" s="136"/>
      <c r="Y189" s="134"/>
      <c r="Z189" s="136"/>
      <c r="AA189" s="128"/>
      <c r="AB189" s="134"/>
      <c r="AC189" s="133"/>
      <c r="AD189" s="133"/>
      <c r="AE189" s="128"/>
      <c r="AF189" s="133"/>
    </row>
    <row r="190" spans="1:32" ht="12.75" customHeight="1" hidden="1">
      <c r="A190" s="133"/>
      <c r="B190" s="133"/>
      <c r="C190" s="132"/>
      <c r="D190" s="133"/>
      <c r="E190" s="133"/>
      <c r="F190" s="133"/>
      <c r="G190" s="134"/>
      <c r="H190" s="133"/>
      <c r="I190" s="133"/>
      <c r="J190" s="133"/>
      <c r="K190" s="135"/>
      <c r="L190" s="128"/>
      <c r="M190" s="133"/>
      <c r="N190" s="128"/>
      <c r="O190" s="133"/>
      <c r="P190" s="131"/>
      <c r="Q190" s="133"/>
      <c r="R190" s="54"/>
      <c r="S190" s="134"/>
      <c r="T190" s="133"/>
      <c r="U190" s="149"/>
      <c r="V190" s="134"/>
      <c r="W190" s="136"/>
      <c r="X190" s="136"/>
      <c r="Y190" s="134"/>
      <c r="Z190" s="136"/>
      <c r="AA190" s="128"/>
      <c r="AB190" s="134"/>
      <c r="AC190" s="133"/>
      <c r="AD190" s="133"/>
      <c r="AE190" s="128"/>
      <c r="AF190" s="133"/>
    </row>
    <row r="191" spans="1:32" ht="12.75" customHeight="1" hidden="1">
      <c r="A191" s="133"/>
      <c r="B191" s="133"/>
      <c r="C191" s="132"/>
      <c r="D191" s="133"/>
      <c r="E191" s="133"/>
      <c r="F191" s="133"/>
      <c r="G191" s="134"/>
      <c r="H191" s="133"/>
      <c r="I191" s="133"/>
      <c r="J191" s="133"/>
      <c r="K191" s="135"/>
      <c r="L191" s="128"/>
      <c r="M191" s="133"/>
      <c r="N191" s="128"/>
      <c r="O191" s="133"/>
      <c r="P191" s="131"/>
      <c r="Q191" s="133"/>
      <c r="R191" s="54"/>
      <c r="S191" s="134"/>
      <c r="T191" s="133"/>
      <c r="U191" s="149"/>
      <c r="V191" s="134"/>
      <c r="W191" s="136"/>
      <c r="X191" s="136"/>
      <c r="Y191" s="134"/>
      <c r="Z191" s="136"/>
      <c r="AA191" s="128"/>
      <c r="AB191" s="134"/>
      <c r="AC191" s="133"/>
      <c r="AD191" s="133"/>
      <c r="AE191" s="128"/>
      <c r="AF191" s="133"/>
    </row>
    <row r="192" spans="1:32" ht="12.75" customHeight="1" hidden="1">
      <c r="A192" s="133"/>
      <c r="B192" s="133"/>
      <c r="C192" s="132"/>
      <c r="D192" s="133"/>
      <c r="E192" s="133"/>
      <c r="F192" s="133"/>
      <c r="G192" s="134"/>
      <c r="H192" s="133"/>
      <c r="I192" s="133"/>
      <c r="J192" s="133"/>
      <c r="K192" s="135"/>
      <c r="L192" s="128"/>
      <c r="M192" s="133"/>
      <c r="N192" s="128"/>
      <c r="O192" s="133"/>
      <c r="P192" s="131"/>
      <c r="Q192" s="133"/>
      <c r="R192" s="54"/>
      <c r="S192" s="134"/>
      <c r="T192" s="133"/>
      <c r="U192" s="149"/>
      <c r="V192" s="134"/>
      <c r="W192" s="136"/>
      <c r="X192" s="136"/>
      <c r="Y192" s="134"/>
      <c r="Z192" s="136"/>
      <c r="AA192" s="128"/>
      <c r="AB192" s="134"/>
      <c r="AC192" s="133"/>
      <c r="AD192" s="133"/>
      <c r="AE192" s="128"/>
      <c r="AF192" s="133"/>
    </row>
    <row r="193" spans="1:32" ht="12.75" customHeight="1" hidden="1">
      <c r="A193" s="133"/>
      <c r="B193" s="133"/>
      <c r="C193" s="132"/>
      <c r="D193" s="133"/>
      <c r="E193" s="133"/>
      <c r="F193" s="133"/>
      <c r="G193" s="134"/>
      <c r="H193" s="133"/>
      <c r="I193" s="133"/>
      <c r="J193" s="133"/>
      <c r="K193" s="135"/>
      <c r="L193" s="128"/>
      <c r="M193" s="133"/>
      <c r="N193" s="128"/>
      <c r="O193" s="133"/>
      <c r="P193" s="131"/>
      <c r="Q193" s="133"/>
      <c r="R193" s="54"/>
      <c r="S193" s="134"/>
      <c r="T193" s="133"/>
      <c r="U193" s="149"/>
      <c r="V193" s="134"/>
      <c r="W193" s="136"/>
      <c r="X193" s="136"/>
      <c r="Y193" s="134"/>
      <c r="Z193" s="136"/>
      <c r="AA193" s="128"/>
      <c r="AB193" s="134"/>
      <c r="AC193" s="133"/>
      <c r="AD193" s="133"/>
      <c r="AE193" s="128"/>
      <c r="AF193" s="133"/>
    </row>
    <row r="194" spans="1:32" ht="12.75" customHeight="1" hidden="1">
      <c r="A194" s="133"/>
      <c r="B194" s="133"/>
      <c r="C194" s="132"/>
      <c r="D194" s="133"/>
      <c r="E194" s="133"/>
      <c r="F194" s="133"/>
      <c r="G194" s="134"/>
      <c r="H194" s="133"/>
      <c r="I194" s="133"/>
      <c r="J194" s="133"/>
      <c r="K194" s="135"/>
      <c r="L194" s="128"/>
      <c r="M194" s="133"/>
      <c r="N194" s="128"/>
      <c r="O194" s="133"/>
      <c r="P194" s="131"/>
      <c r="Q194" s="133"/>
      <c r="R194" s="54"/>
      <c r="S194" s="134"/>
      <c r="T194" s="133"/>
      <c r="U194" s="149"/>
      <c r="V194" s="134"/>
      <c r="W194" s="136"/>
      <c r="X194" s="136"/>
      <c r="Y194" s="134"/>
      <c r="Z194" s="136"/>
      <c r="AA194" s="128"/>
      <c r="AB194" s="134"/>
      <c r="AC194" s="133"/>
      <c r="AD194" s="133"/>
      <c r="AE194" s="128"/>
      <c r="AF194" s="133"/>
    </row>
    <row r="195" spans="1:32" ht="12.75" customHeight="1" hidden="1">
      <c r="A195" s="133"/>
      <c r="B195" s="133"/>
      <c r="C195" s="132"/>
      <c r="D195" s="133"/>
      <c r="E195" s="133"/>
      <c r="F195" s="133"/>
      <c r="G195" s="134"/>
      <c r="H195" s="133"/>
      <c r="I195" s="133"/>
      <c r="J195" s="133"/>
      <c r="K195" s="135"/>
      <c r="L195" s="128"/>
      <c r="M195" s="133"/>
      <c r="N195" s="128"/>
      <c r="O195" s="133"/>
      <c r="P195" s="131"/>
      <c r="Q195" s="133"/>
      <c r="R195" s="54"/>
      <c r="S195" s="134"/>
      <c r="T195" s="133"/>
      <c r="U195" s="149"/>
      <c r="V195" s="134"/>
      <c r="W195" s="136"/>
      <c r="X195" s="136"/>
      <c r="Y195" s="134"/>
      <c r="Z195" s="136"/>
      <c r="AA195" s="128"/>
      <c r="AB195" s="134"/>
      <c r="AC195" s="133"/>
      <c r="AD195" s="133"/>
      <c r="AE195" s="128"/>
      <c r="AF195" s="133"/>
    </row>
    <row r="196" spans="1:32" ht="12.75" customHeight="1" hidden="1">
      <c r="A196" s="133"/>
      <c r="B196" s="133"/>
      <c r="C196" s="132"/>
      <c r="D196" s="133"/>
      <c r="E196" s="133"/>
      <c r="F196" s="133"/>
      <c r="G196" s="134"/>
      <c r="H196" s="133"/>
      <c r="I196" s="133"/>
      <c r="J196" s="133"/>
      <c r="K196" s="135"/>
      <c r="L196" s="128"/>
      <c r="M196" s="133"/>
      <c r="N196" s="128"/>
      <c r="O196" s="133"/>
      <c r="P196" s="131"/>
      <c r="Q196" s="133"/>
      <c r="R196" s="54"/>
      <c r="S196" s="134"/>
      <c r="T196" s="133"/>
      <c r="U196" s="149"/>
      <c r="V196" s="134"/>
      <c r="W196" s="136"/>
      <c r="X196" s="136"/>
      <c r="Y196" s="134"/>
      <c r="Z196" s="136"/>
      <c r="AA196" s="128"/>
      <c r="AB196" s="134"/>
      <c r="AC196" s="133"/>
      <c r="AD196" s="133"/>
      <c r="AE196" s="128"/>
      <c r="AF196" s="133"/>
    </row>
    <row r="197" spans="1:32" ht="12.75" customHeight="1" hidden="1">
      <c r="A197" s="133"/>
      <c r="B197" s="133"/>
      <c r="C197" s="132"/>
      <c r="D197" s="133"/>
      <c r="E197" s="133"/>
      <c r="F197" s="133"/>
      <c r="G197" s="134"/>
      <c r="H197" s="133"/>
      <c r="I197" s="133"/>
      <c r="J197" s="133"/>
      <c r="K197" s="135"/>
      <c r="L197" s="128"/>
      <c r="M197" s="133"/>
      <c r="N197" s="128"/>
      <c r="O197" s="133"/>
      <c r="P197" s="131"/>
      <c r="Q197" s="133"/>
      <c r="R197" s="54"/>
      <c r="S197" s="134"/>
      <c r="T197" s="133"/>
      <c r="U197" s="149"/>
      <c r="V197" s="134"/>
      <c r="W197" s="136"/>
      <c r="X197" s="136"/>
      <c r="Y197" s="134"/>
      <c r="Z197" s="136"/>
      <c r="AA197" s="128"/>
      <c r="AB197" s="134"/>
      <c r="AC197" s="133"/>
      <c r="AD197" s="133"/>
      <c r="AE197" s="128"/>
      <c r="AF197" s="133"/>
    </row>
    <row r="198" spans="1:32" ht="12.75" customHeight="1" hidden="1">
      <c r="A198" s="133"/>
      <c r="B198" s="133"/>
      <c r="C198" s="132"/>
      <c r="D198" s="133"/>
      <c r="E198" s="133"/>
      <c r="F198" s="133"/>
      <c r="G198" s="134"/>
      <c r="H198" s="133"/>
      <c r="I198" s="133"/>
      <c r="J198" s="133"/>
      <c r="K198" s="135"/>
      <c r="L198" s="128"/>
      <c r="M198" s="133"/>
      <c r="N198" s="128"/>
      <c r="O198" s="133"/>
      <c r="P198" s="131"/>
      <c r="Q198" s="133"/>
      <c r="R198" s="54"/>
      <c r="S198" s="134"/>
      <c r="T198" s="133"/>
      <c r="U198" s="149"/>
      <c r="V198" s="134"/>
      <c r="W198" s="136"/>
      <c r="X198" s="136"/>
      <c r="Y198" s="134"/>
      <c r="Z198" s="136"/>
      <c r="AA198" s="128"/>
      <c r="AB198" s="134"/>
      <c r="AC198" s="133"/>
      <c r="AD198" s="133"/>
      <c r="AE198" s="128"/>
      <c r="AF198" s="133"/>
    </row>
    <row r="199" spans="1:32" ht="12.75" customHeight="1" hidden="1">
      <c r="A199" s="133"/>
      <c r="B199" s="133"/>
      <c r="C199" s="132"/>
      <c r="D199" s="133"/>
      <c r="E199" s="133"/>
      <c r="F199" s="133"/>
      <c r="G199" s="134"/>
      <c r="H199" s="133"/>
      <c r="I199" s="133"/>
      <c r="J199" s="133"/>
      <c r="K199" s="135"/>
      <c r="L199" s="128"/>
      <c r="M199" s="133"/>
      <c r="N199" s="128"/>
      <c r="O199" s="133"/>
      <c r="P199" s="131"/>
      <c r="Q199" s="133"/>
      <c r="R199" s="54"/>
      <c r="S199" s="134"/>
      <c r="T199" s="133"/>
      <c r="U199" s="149"/>
      <c r="V199" s="134"/>
      <c r="W199" s="136"/>
      <c r="X199" s="136"/>
      <c r="Y199" s="134"/>
      <c r="Z199" s="136"/>
      <c r="AA199" s="128"/>
      <c r="AB199" s="134"/>
      <c r="AC199" s="133"/>
      <c r="AD199" s="133"/>
      <c r="AE199" s="128"/>
      <c r="AF199" s="133"/>
    </row>
    <row r="200" spans="1:32" ht="12.75" customHeight="1" hidden="1">
      <c r="A200" s="133"/>
      <c r="B200" s="133"/>
      <c r="C200" s="132"/>
      <c r="D200" s="133"/>
      <c r="E200" s="133"/>
      <c r="F200" s="133"/>
      <c r="G200" s="134"/>
      <c r="H200" s="133"/>
      <c r="I200" s="133"/>
      <c r="J200" s="133"/>
      <c r="K200" s="135"/>
      <c r="L200" s="128"/>
      <c r="M200" s="133"/>
      <c r="N200" s="128"/>
      <c r="O200" s="133"/>
      <c r="P200" s="131"/>
      <c r="Q200" s="133"/>
      <c r="R200" s="54"/>
      <c r="S200" s="134"/>
      <c r="T200" s="133"/>
      <c r="U200" s="149"/>
      <c r="V200" s="134"/>
      <c r="W200" s="136"/>
      <c r="X200" s="136"/>
      <c r="Y200" s="134"/>
      <c r="Z200" s="136"/>
      <c r="AA200" s="128"/>
      <c r="AB200" s="134"/>
      <c r="AC200" s="133"/>
      <c r="AD200" s="133"/>
      <c r="AE200" s="128"/>
      <c r="AF200" s="133"/>
    </row>
    <row r="201" spans="1:32" ht="12.75" customHeight="1" hidden="1">
      <c r="A201" s="133"/>
      <c r="B201" s="133"/>
      <c r="C201" s="132"/>
      <c r="D201" s="133"/>
      <c r="E201" s="133"/>
      <c r="F201" s="133"/>
      <c r="G201" s="134"/>
      <c r="H201" s="133"/>
      <c r="I201" s="133"/>
      <c r="J201" s="133"/>
      <c r="K201" s="135"/>
      <c r="L201" s="128"/>
      <c r="M201" s="133"/>
      <c r="N201" s="128"/>
      <c r="O201" s="133"/>
      <c r="P201" s="131"/>
      <c r="Q201" s="133"/>
      <c r="R201" s="54"/>
      <c r="S201" s="134"/>
      <c r="T201" s="133"/>
      <c r="U201" s="149"/>
      <c r="V201" s="134"/>
      <c r="W201" s="136"/>
      <c r="X201" s="136"/>
      <c r="Y201" s="134"/>
      <c r="Z201" s="136"/>
      <c r="AA201" s="128"/>
      <c r="AB201" s="134"/>
      <c r="AC201" s="133"/>
      <c r="AD201" s="133"/>
      <c r="AE201" s="128"/>
      <c r="AF201" s="133"/>
    </row>
    <row r="202" spans="1:32" ht="12.75" customHeight="1" hidden="1">
      <c r="A202" s="133"/>
      <c r="B202" s="133"/>
      <c r="C202" s="132"/>
      <c r="D202" s="133"/>
      <c r="E202" s="133"/>
      <c r="F202" s="133"/>
      <c r="G202" s="134"/>
      <c r="H202" s="133"/>
      <c r="I202" s="133"/>
      <c r="J202" s="133"/>
      <c r="K202" s="135"/>
      <c r="L202" s="128"/>
      <c r="M202" s="133"/>
      <c r="N202" s="128"/>
      <c r="O202" s="133"/>
      <c r="P202" s="131"/>
      <c r="Q202" s="133"/>
      <c r="R202" s="54"/>
      <c r="S202" s="134"/>
      <c r="T202" s="133"/>
      <c r="U202" s="149"/>
      <c r="V202" s="134"/>
      <c r="W202" s="136"/>
      <c r="X202" s="136"/>
      <c r="Y202" s="134"/>
      <c r="Z202" s="136"/>
      <c r="AA202" s="128"/>
      <c r="AB202" s="134"/>
      <c r="AC202" s="133"/>
      <c r="AD202" s="133"/>
      <c r="AE202" s="128"/>
      <c r="AF202" s="133"/>
    </row>
    <row r="203" spans="1:32" ht="12.75" customHeight="1" hidden="1">
      <c r="A203" s="133"/>
      <c r="B203" s="133"/>
      <c r="C203" s="132"/>
      <c r="D203" s="133"/>
      <c r="E203" s="133"/>
      <c r="F203" s="133"/>
      <c r="G203" s="134"/>
      <c r="H203" s="133"/>
      <c r="I203" s="133"/>
      <c r="J203" s="133"/>
      <c r="K203" s="135"/>
      <c r="L203" s="128"/>
      <c r="M203" s="133"/>
      <c r="N203" s="128"/>
      <c r="O203" s="133"/>
      <c r="P203" s="131"/>
      <c r="Q203" s="133"/>
      <c r="R203" s="54"/>
      <c r="S203" s="134"/>
      <c r="T203" s="133"/>
      <c r="U203" s="149"/>
      <c r="V203" s="134"/>
      <c r="W203" s="136"/>
      <c r="X203" s="136"/>
      <c r="Y203" s="134"/>
      <c r="Z203" s="136"/>
      <c r="AA203" s="128"/>
      <c r="AB203" s="134"/>
      <c r="AC203" s="133"/>
      <c r="AD203" s="133"/>
      <c r="AE203" s="128"/>
      <c r="AF203" s="133"/>
    </row>
    <row r="204" spans="1:32" ht="12.75" customHeight="1" hidden="1">
      <c r="A204" s="133"/>
      <c r="B204" s="133"/>
      <c r="C204" s="132"/>
      <c r="D204" s="133"/>
      <c r="E204" s="133"/>
      <c r="F204" s="133"/>
      <c r="G204" s="134"/>
      <c r="H204" s="133"/>
      <c r="I204" s="133"/>
      <c r="J204" s="133"/>
      <c r="K204" s="135"/>
      <c r="L204" s="128"/>
      <c r="M204" s="133"/>
      <c r="N204" s="128"/>
      <c r="O204" s="133"/>
      <c r="P204" s="131"/>
      <c r="Q204" s="133"/>
      <c r="R204" s="54"/>
      <c r="S204" s="134"/>
      <c r="T204" s="133"/>
      <c r="U204" s="149"/>
      <c r="V204" s="134"/>
      <c r="W204" s="136"/>
      <c r="X204" s="136"/>
      <c r="Y204" s="134"/>
      <c r="Z204" s="136"/>
      <c r="AA204" s="128"/>
      <c r="AB204" s="134"/>
      <c r="AC204" s="133"/>
      <c r="AD204" s="133"/>
      <c r="AE204" s="128"/>
      <c r="AF204" s="133"/>
    </row>
    <row r="205" spans="1:32" ht="12.75" customHeight="1" hidden="1">
      <c r="A205" s="133"/>
      <c r="B205" s="133"/>
      <c r="C205" s="132"/>
      <c r="D205" s="133"/>
      <c r="E205" s="133"/>
      <c r="F205" s="133"/>
      <c r="G205" s="134"/>
      <c r="H205" s="133"/>
      <c r="I205" s="133"/>
      <c r="J205" s="133"/>
      <c r="K205" s="135"/>
      <c r="L205" s="128"/>
      <c r="M205" s="133"/>
      <c r="N205" s="128"/>
      <c r="O205" s="133"/>
      <c r="P205" s="131"/>
      <c r="Q205" s="133"/>
      <c r="R205" s="54"/>
      <c r="S205" s="134"/>
      <c r="T205" s="133"/>
      <c r="U205" s="149"/>
      <c r="V205" s="134"/>
      <c r="W205" s="136"/>
      <c r="X205" s="136"/>
      <c r="Y205" s="134"/>
      <c r="Z205" s="136"/>
      <c r="AA205" s="128"/>
      <c r="AB205" s="134"/>
      <c r="AC205" s="133"/>
      <c r="AD205" s="133"/>
      <c r="AE205" s="128"/>
      <c r="AF205" s="133"/>
    </row>
    <row r="206" spans="1:32" ht="12.75" customHeight="1" hidden="1">
      <c r="A206" s="133"/>
      <c r="B206" s="133"/>
      <c r="C206" s="132"/>
      <c r="D206" s="133"/>
      <c r="E206" s="133"/>
      <c r="F206" s="133"/>
      <c r="G206" s="134"/>
      <c r="H206" s="133"/>
      <c r="I206" s="133"/>
      <c r="J206" s="133"/>
      <c r="K206" s="135"/>
      <c r="L206" s="128"/>
      <c r="M206" s="133"/>
      <c r="N206" s="128"/>
      <c r="O206" s="133"/>
      <c r="P206" s="131"/>
      <c r="Q206" s="133"/>
      <c r="R206" s="54"/>
      <c r="S206" s="134"/>
      <c r="T206" s="133"/>
      <c r="U206" s="149"/>
      <c r="V206" s="134"/>
      <c r="W206" s="136"/>
      <c r="X206" s="136"/>
      <c r="Y206" s="134"/>
      <c r="Z206" s="136"/>
      <c r="AA206" s="128"/>
      <c r="AB206" s="134"/>
      <c r="AC206" s="133"/>
      <c r="AD206" s="133"/>
      <c r="AE206" s="128"/>
      <c r="AF206" s="133"/>
    </row>
    <row r="207" spans="1:32" ht="12.75" customHeight="1" hidden="1">
      <c r="A207" s="133"/>
      <c r="B207" s="133"/>
      <c r="C207" s="132"/>
      <c r="D207" s="133"/>
      <c r="E207" s="133"/>
      <c r="F207" s="133"/>
      <c r="G207" s="134"/>
      <c r="H207" s="133"/>
      <c r="I207" s="133"/>
      <c r="J207" s="133"/>
      <c r="K207" s="135"/>
      <c r="L207" s="128"/>
      <c r="M207" s="133"/>
      <c r="N207" s="128"/>
      <c r="O207" s="133"/>
      <c r="P207" s="131"/>
      <c r="Q207" s="133"/>
      <c r="R207" s="54"/>
      <c r="S207" s="134"/>
      <c r="T207" s="133"/>
      <c r="U207" s="149"/>
      <c r="V207" s="134"/>
      <c r="W207" s="136"/>
      <c r="X207" s="136"/>
      <c r="Y207" s="134"/>
      <c r="Z207" s="136"/>
      <c r="AA207" s="128"/>
      <c r="AB207" s="134"/>
      <c r="AC207" s="133"/>
      <c r="AD207" s="133"/>
      <c r="AE207" s="128"/>
      <c r="AF207" s="133"/>
    </row>
    <row r="208" spans="1:32" ht="12.75" customHeight="1" hidden="1">
      <c r="A208" s="133"/>
      <c r="B208" s="133"/>
      <c r="C208" s="132"/>
      <c r="D208" s="133"/>
      <c r="E208" s="133"/>
      <c r="F208" s="133"/>
      <c r="G208" s="134"/>
      <c r="H208" s="133"/>
      <c r="I208" s="133"/>
      <c r="J208" s="133"/>
      <c r="K208" s="135"/>
      <c r="L208" s="128"/>
      <c r="M208" s="133"/>
      <c r="N208" s="128"/>
      <c r="O208" s="133"/>
      <c r="P208" s="131"/>
      <c r="Q208" s="133"/>
      <c r="R208" s="54"/>
      <c r="S208" s="134"/>
      <c r="T208" s="133"/>
      <c r="U208" s="149"/>
      <c r="V208" s="134"/>
      <c r="W208" s="136"/>
      <c r="X208" s="136"/>
      <c r="Y208" s="134"/>
      <c r="Z208" s="136"/>
      <c r="AA208" s="128"/>
      <c r="AB208" s="134"/>
      <c r="AC208" s="133"/>
      <c r="AD208" s="133"/>
      <c r="AE208" s="128"/>
      <c r="AF208" s="133"/>
    </row>
    <row r="209" spans="1:32" ht="12.75" customHeight="1" hidden="1">
      <c r="A209" s="133"/>
      <c r="B209" s="133"/>
      <c r="C209" s="132"/>
      <c r="D209" s="133"/>
      <c r="E209" s="133"/>
      <c r="F209" s="133"/>
      <c r="G209" s="134"/>
      <c r="H209" s="133"/>
      <c r="I209" s="133"/>
      <c r="J209" s="133"/>
      <c r="K209" s="135"/>
      <c r="L209" s="128"/>
      <c r="M209" s="133"/>
      <c r="N209" s="128"/>
      <c r="O209" s="133"/>
      <c r="P209" s="131"/>
      <c r="Q209" s="133"/>
      <c r="R209" s="54"/>
      <c r="S209" s="134"/>
      <c r="T209" s="133"/>
      <c r="U209" s="149"/>
      <c r="V209" s="134"/>
      <c r="W209" s="136"/>
      <c r="X209" s="136"/>
      <c r="Y209" s="134"/>
      <c r="Z209" s="136"/>
      <c r="AA209" s="128"/>
      <c r="AB209" s="134"/>
      <c r="AC209" s="133"/>
      <c r="AD209" s="133"/>
      <c r="AE209" s="128"/>
      <c r="AF209" s="133"/>
    </row>
    <row r="210" spans="1:32" ht="12.75" customHeight="1" hidden="1">
      <c r="A210" s="133"/>
      <c r="B210" s="133"/>
      <c r="C210" s="132"/>
      <c r="D210" s="133"/>
      <c r="E210" s="133"/>
      <c r="F210" s="133"/>
      <c r="G210" s="134"/>
      <c r="H210" s="133"/>
      <c r="I210" s="133"/>
      <c r="J210" s="133"/>
      <c r="K210" s="135"/>
      <c r="L210" s="128"/>
      <c r="M210" s="133"/>
      <c r="N210" s="128"/>
      <c r="O210" s="133"/>
      <c r="P210" s="131"/>
      <c r="Q210" s="133"/>
      <c r="R210" s="54"/>
      <c r="S210" s="134"/>
      <c r="T210" s="133"/>
      <c r="U210" s="149"/>
      <c r="V210" s="134"/>
      <c r="W210" s="136"/>
      <c r="X210" s="136"/>
      <c r="Y210" s="134"/>
      <c r="Z210" s="136"/>
      <c r="AA210" s="128"/>
      <c r="AB210" s="134"/>
      <c r="AC210" s="133"/>
      <c r="AD210" s="133"/>
      <c r="AE210" s="128"/>
      <c r="AF210" s="133"/>
    </row>
    <row r="211" spans="1:32" ht="12.75" customHeight="1" hidden="1">
      <c r="A211" s="133"/>
      <c r="B211" s="133"/>
      <c r="C211" s="132"/>
      <c r="D211" s="133"/>
      <c r="E211" s="133"/>
      <c r="F211" s="133"/>
      <c r="G211" s="134"/>
      <c r="H211" s="133"/>
      <c r="I211" s="133"/>
      <c r="J211" s="133"/>
      <c r="K211" s="135"/>
      <c r="L211" s="128"/>
      <c r="M211" s="133"/>
      <c r="N211" s="128"/>
      <c r="O211" s="133"/>
      <c r="P211" s="131"/>
      <c r="Q211" s="133"/>
      <c r="R211" s="54"/>
      <c r="S211" s="134"/>
      <c r="T211" s="133"/>
      <c r="U211" s="149"/>
      <c r="V211" s="134"/>
      <c r="W211" s="136"/>
      <c r="X211" s="136"/>
      <c r="Y211" s="134"/>
      <c r="Z211" s="136"/>
      <c r="AA211" s="128"/>
      <c r="AB211" s="134"/>
      <c r="AC211" s="133"/>
      <c r="AD211" s="133"/>
      <c r="AE211" s="128"/>
      <c r="AF211" s="133"/>
    </row>
    <row r="212" spans="1:32" ht="12.75" customHeight="1" hidden="1">
      <c r="A212" s="133"/>
      <c r="B212" s="133"/>
      <c r="C212" s="132"/>
      <c r="D212" s="133"/>
      <c r="E212" s="133"/>
      <c r="F212" s="133"/>
      <c r="G212" s="134"/>
      <c r="H212" s="133"/>
      <c r="I212" s="133"/>
      <c r="J212" s="133"/>
      <c r="K212" s="135"/>
      <c r="L212" s="128"/>
      <c r="M212" s="133"/>
      <c r="N212" s="128"/>
      <c r="O212" s="133"/>
      <c r="P212" s="131"/>
      <c r="Q212" s="133"/>
      <c r="R212" s="54"/>
      <c r="S212" s="134"/>
      <c r="T212" s="133"/>
      <c r="U212" s="149"/>
      <c r="V212" s="134"/>
      <c r="W212" s="136"/>
      <c r="X212" s="136"/>
      <c r="Y212" s="134"/>
      <c r="Z212" s="136"/>
      <c r="AA212" s="128"/>
      <c r="AB212" s="134"/>
      <c r="AC212" s="133"/>
      <c r="AD212" s="133"/>
      <c r="AE212" s="128"/>
      <c r="AF212" s="133"/>
    </row>
    <row r="213" spans="1:32" ht="12.75" customHeight="1" hidden="1">
      <c r="A213" s="133"/>
      <c r="B213" s="133"/>
      <c r="C213" s="132"/>
      <c r="D213" s="133"/>
      <c r="E213" s="133"/>
      <c r="F213" s="133"/>
      <c r="G213" s="134"/>
      <c r="H213" s="133"/>
      <c r="I213" s="133"/>
      <c r="J213" s="133"/>
      <c r="K213" s="135"/>
      <c r="L213" s="128"/>
      <c r="M213" s="133"/>
      <c r="N213" s="128"/>
      <c r="O213" s="133"/>
      <c r="P213" s="131"/>
      <c r="Q213" s="133"/>
      <c r="R213" s="54"/>
      <c r="S213" s="134"/>
      <c r="T213" s="133"/>
      <c r="U213" s="149"/>
      <c r="V213" s="134"/>
      <c r="W213" s="136"/>
      <c r="X213" s="136"/>
      <c r="Y213" s="134"/>
      <c r="Z213" s="136"/>
      <c r="AA213" s="128"/>
      <c r="AB213" s="134"/>
      <c r="AC213" s="133"/>
      <c r="AD213" s="133"/>
      <c r="AE213" s="128"/>
      <c r="AF213" s="133"/>
    </row>
    <row r="214" spans="1:32" ht="12.75" customHeight="1" hidden="1">
      <c r="A214" s="133"/>
      <c r="B214" s="133"/>
      <c r="C214" s="132"/>
      <c r="D214" s="133"/>
      <c r="E214" s="133"/>
      <c r="F214" s="133"/>
      <c r="G214" s="134"/>
      <c r="H214" s="133"/>
      <c r="I214" s="133"/>
      <c r="J214" s="133"/>
      <c r="K214" s="135"/>
      <c r="L214" s="128"/>
      <c r="M214" s="133"/>
      <c r="N214" s="128"/>
      <c r="O214" s="133"/>
      <c r="P214" s="131"/>
      <c r="Q214" s="133"/>
      <c r="R214" s="54"/>
      <c r="S214" s="134"/>
      <c r="T214" s="133"/>
      <c r="U214" s="149"/>
      <c r="V214" s="134"/>
      <c r="W214" s="136"/>
      <c r="X214" s="136"/>
      <c r="Y214" s="134"/>
      <c r="Z214" s="136"/>
      <c r="AA214" s="128"/>
      <c r="AB214" s="134"/>
      <c r="AC214" s="133"/>
      <c r="AD214" s="133"/>
      <c r="AE214" s="128"/>
      <c r="AF214" s="133"/>
    </row>
    <row r="215" spans="1:32" ht="12.75" customHeight="1" hidden="1">
      <c r="A215" s="133"/>
      <c r="B215" s="133"/>
      <c r="C215" s="132"/>
      <c r="D215" s="133"/>
      <c r="E215" s="133"/>
      <c r="F215" s="133"/>
      <c r="G215" s="134"/>
      <c r="H215" s="133"/>
      <c r="I215" s="133"/>
      <c r="J215" s="133"/>
      <c r="K215" s="135"/>
      <c r="L215" s="128"/>
      <c r="M215" s="133"/>
      <c r="N215" s="128"/>
      <c r="O215" s="133"/>
      <c r="P215" s="131"/>
      <c r="Q215" s="133"/>
      <c r="R215" s="54"/>
      <c r="S215" s="134"/>
      <c r="T215" s="133"/>
      <c r="U215" s="149"/>
      <c r="V215" s="134"/>
      <c r="W215" s="136"/>
      <c r="X215" s="136"/>
      <c r="Y215" s="134"/>
      <c r="Z215" s="136"/>
      <c r="AA215" s="128"/>
      <c r="AB215" s="134"/>
      <c r="AC215" s="133"/>
      <c r="AD215" s="133"/>
      <c r="AE215" s="128"/>
      <c r="AF215" s="133"/>
    </row>
    <row r="216" spans="1:32" ht="12.75" customHeight="1" hidden="1">
      <c r="A216" s="133"/>
      <c r="B216" s="133"/>
      <c r="C216" s="132"/>
      <c r="D216" s="133"/>
      <c r="E216" s="133"/>
      <c r="F216" s="133"/>
      <c r="G216" s="134"/>
      <c r="H216" s="133"/>
      <c r="I216" s="133"/>
      <c r="J216" s="133"/>
      <c r="K216" s="135"/>
      <c r="L216" s="128"/>
      <c r="M216" s="133"/>
      <c r="N216" s="128"/>
      <c r="O216" s="133"/>
      <c r="P216" s="131"/>
      <c r="Q216" s="133"/>
      <c r="R216" s="54"/>
      <c r="S216" s="134"/>
      <c r="T216" s="133"/>
      <c r="U216" s="149"/>
      <c r="V216" s="134"/>
      <c r="W216" s="136"/>
      <c r="X216" s="136"/>
      <c r="Y216" s="134"/>
      <c r="Z216" s="136"/>
      <c r="AA216" s="128"/>
      <c r="AB216" s="134"/>
      <c r="AC216" s="133"/>
      <c r="AD216" s="133"/>
      <c r="AE216" s="128"/>
      <c r="AF216" s="133"/>
    </row>
    <row r="217" spans="1:32" ht="12.75" customHeight="1" hidden="1">
      <c r="A217" s="133"/>
      <c r="B217" s="133"/>
      <c r="C217" s="132"/>
      <c r="D217" s="133"/>
      <c r="E217" s="133"/>
      <c r="F217" s="133"/>
      <c r="G217" s="134"/>
      <c r="H217" s="133"/>
      <c r="I217" s="133"/>
      <c r="J217" s="133"/>
      <c r="K217" s="135"/>
      <c r="L217" s="128"/>
      <c r="M217" s="133"/>
      <c r="N217" s="128"/>
      <c r="O217" s="133"/>
      <c r="P217" s="131"/>
      <c r="Q217" s="133"/>
      <c r="R217" s="54"/>
      <c r="S217" s="134"/>
      <c r="T217" s="133"/>
      <c r="U217" s="149"/>
      <c r="V217" s="134"/>
      <c r="W217" s="136"/>
      <c r="X217" s="136"/>
      <c r="Y217" s="134"/>
      <c r="Z217" s="136"/>
      <c r="AA217" s="128"/>
      <c r="AB217" s="134"/>
      <c r="AC217" s="133"/>
      <c r="AD217" s="133"/>
      <c r="AE217" s="128"/>
      <c r="AF217" s="133"/>
    </row>
    <row r="218" spans="1:32" ht="12.75" customHeight="1" hidden="1">
      <c r="A218" s="133"/>
      <c r="B218" s="133"/>
      <c r="C218" s="132"/>
      <c r="D218" s="133"/>
      <c r="E218" s="133"/>
      <c r="F218" s="133"/>
      <c r="G218" s="134"/>
      <c r="H218" s="133"/>
      <c r="I218" s="133"/>
      <c r="J218" s="133"/>
      <c r="K218" s="135"/>
      <c r="L218" s="128"/>
      <c r="M218" s="133"/>
      <c r="N218" s="128"/>
      <c r="O218" s="133"/>
      <c r="P218" s="131"/>
      <c r="Q218" s="133"/>
      <c r="R218" s="54"/>
      <c r="S218" s="134"/>
      <c r="T218" s="133"/>
      <c r="U218" s="149"/>
      <c r="V218" s="134"/>
      <c r="W218" s="136"/>
      <c r="X218" s="136"/>
      <c r="Y218" s="134"/>
      <c r="Z218" s="136"/>
      <c r="AA218" s="128"/>
      <c r="AB218" s="134"/>
      <c r="AC218" s="133"/>
      <c r="AD218" s="133"/>
      <c r="AE218" s="128"/>
      <c r="AF218" s="133"/>
    </row>
    <row r="219" spans="1:32" ht="12.75" customHeight="1" hidden="1">
      <c r="A219" s="133"/>
      <c r="B219" s="133"/>
      <c r="C219" s="132"/>
      <c r="D219" s="133"/>
      <c r="E219" s="133"/>
      <c r="F219" s="133"/>
      <c r="G219" s="134"/>
      <c r="H219" s="133"/>
      <c r="I219" s="133"/>
      <c r="J219" s="133"/>
      <c r="K219" s="135"/>
      <c r="L219" s="128"/>
      <c r="M219" s="133"/>
      <c r="N219" s="128"/>
      <c r="O219" s="133"/>
      <c r="P219" s="131"/>
      <c r="Q219" s="133"/>
      <c r="R219" s="54"/>
      <c r="S219" s="134"/>
      <c r="T219" s="133"/>
      <c r="U219" s="149"/>
      <c r="V219" s="134"/>
      <c r="W219" s="136"/>
      <c r="X219" s="136"/>
      <c r="Y219" s="134"/>
      <c r="Z219" s="136"/>
      <c r="AA219" s="128"/>
      <c r="AB219" s="134"/>
      <c r="AC219" s="133"/>
      <c r="AD219" s="133"/>
      <c r="AE219" s="128"/>
      <c r="AF219" s="133"/>
    </row>
    <row r="220" spans="1:32" ht="12.75" customHeight="1" hidden="1">
      <c r="A220" s="133"/>
      <c r="B220" s="133"/>
      <c r="C220" s="132"/>
      <c r="D220" s="133"/>
      <c r="E220" s="133"/>
      <c r="F220" s="133"/>
      <c r="G220" s="134"/>
      <c r="H220" s="133"/>
      <c r="I220" s="133"/>
      <c r="J220" s="133"/>
      <c r="K220" s="135"/>
      <c r="L220" s="128"/>
      <c r="M220" s="133"/>
      <c r="N220" s="128"/>
      <c r="O220" s="133"/>
      <c r="P220" s="131"/>
      <c r="Q220" s="133"/>
      <c r="R220" s="54"/>
      <c r="S220" s="134"/>
      <c r="T220" s="133"/>
      <c r="U220" s="149"/>
      <c r="V220" s="134"/>
      <c r="W220" s="136"/>
      <c r="X220" s="136"/>
      <c r="Y220" s="134"/>
      <c r="Z220" s="136"/>
      <c r="AA220" s="128"/>
      <c r="AB220" s="134"/>
      <c r="AC220" s="133"/>
      <c r="AD220" s="133"/>
      <c r="AE220" s="128"/>
      <c r="AF220" s="133"/>
    </row>
    <row r="221" spans="1:32" ht="12.75" customHeight="1" hidden="1">
      <c r="A221" s="133"/>
      <c r="B221" s="133"/>
      <c r="C221" s="132"/>
      <c r="D221" s="133"/>
      <c r="E221" s="133"/>
      <c r="F221" s="133"/>
      <c r="G221" s="134"/>
      <c r="H221" s="133"/>
      <c r="I221" s="133"/>
      <c r="J221" s="133"/>
      <c r="K221" s="135"/>
      <c r="L221" s="128"/>
      <c r="M221" s="133"/>
      <c r="N221" s="128"/>
      <c r="O221" s="133"/>
      <c r="P221" s="131"/>
      <c r="Q221" s="133"/>
      <c r="R221" s="54"/>
      <c r="S221" s="134"/>
      <c r="T221" s="133"/>
      <c r="U221" s="149"/>
      <c r="V221" s="134"/>
      <c r="W221" s="136"/>
      <c r="X221" s="136"/>
      <c r="Y221" s="134"/>
      <c r="Z221" s="136"/>
      <c r="AA221" s="128"/>
      <c r="AB221" s="134"/>
      <c r="AC221" s="133"/>
      <c r="AD221" s="133"/>
      <c r="AE221" s="128"/>
      <c r="AF221" s="133"/>
    </row>
    <row r="222" spans="1:32" ht="12.75" customHeight="1" hidden="1">
      <c r="A222" s="133"/>
      <c r="B222" s="133"/>
      <c r="C222" s="132"/>
      <c r="D222" s="133"/>
      <c r="E222" s="133"/>
      <c r="F222" s="133"/>
      <c r="G222" s="134"/>
      <c r="H222" s="133"/>
      <c r="I222" s="133"/>
      <c r="J222" s="133"/>
      <c r="K222" s="135"/>
      <c r="L222" s="128"/>
      <c r="M222" s="133"/>
      <c r="N222" s="128"/>
      <c r="O222" s="133"/>
      <c r="P222" s="131"/>
      <c r="Q222" s="133"/>
      <c r="R222" s="54"/>
      <c r="S222" s="134"/>
      <c r="T222" s="133"/>
      <c r="U222" s="149"/>
      <c r="V222" s="134"/>
      <c r="W222" s="136"/>
      <c r="X222" s="136"/>
      <c r="Y222" s="134"/>
      <c r="Z222" s="136"/>
      <c r="AA222" s="128"/>
      <c r="AB222" s="134"/>
      <c r="AC222" s="133"/>
      <c r="AD222" s="133"/>
      <c r="AE222" s="128"/>
      <c r="AF222" s="133"/>
    </row>
    <row r="223" spans="1:32" ht="12.75" customHeight="1" hidden="1">
      <c r="A223" s="133"/>
      <c r="B223" s="133"/>
      <c r="C223" s="132"/>
      <c r="D223" s="133"/>
      <c r="E223" s="133"/>
      <c r="F223" s="133"/>
      <c r="G223" s="134"/>
      <c r="H223" s="133"/>
      <c r="I223" s="133"/>
      <c r="J223" s="133"/>
      <c r="K223" s="135"/>
      <c r="L223" s="128"/>
      <c r="M223" s="133"/>
      <c r="N223" s="128"/>
      <c r="O223" s="133"/>
      <c r="P223" s="131"/>
      <c r="Q223" s="133"/>
      <c r="R223" s="54"/>
      <c r="S223" s="134"/>
      <c r="T223" s="133"/>
      <c r="U223" s="149"/>
      <c r="V223" s="134"/>
      <c r="W223" s="136"/>
      <c r="X223" s="136"/>
      <c r="Y223" s="134"/>
      <c r="Z223" s="136"/>
      <c r="AA223" s="128"/>
      <c r="AB223" s="134"/>
      <c r="AC223" s="133"/>
      <c r="AD223" s="133"/>
      <c r="AE223" s="128"/>
      <c r="AF223" s="133"/>
    </row>
    <row r="224" spans="1:32" ht="12.75" customHeight="1" hidden="1">
      <c r="A224" s="133"/>
      <c r="B224" s="133"/>
      <c r="C224" s="132"/>
      <c r="D224" s="133"/>
      <c r="E224" s="133"/>
      <c r="F224" s="133"/>
      <c r="G224" s="134"/>
      <c r="H224" s="133"/>
      <c r="I224" s="133"/>
      <c r="J224" s="133"/>
      <c r="K224" s="135"/>
      <c r="L224" s="128"/>
      <c r="M224" s="133"/>
      <c r="N224" s="128"/>
      <c r="O224" s="133"/>
      <c r="P224" s="131"/>
      <c r="Q224" s="133"/>
      <c r="R224" s="54"/>
      <c r="S224" s="134"/>
      <c r="T224" s="133"/>
      <c r="U224" s="149"/>
      <c r="V224" s="134"/>
      <c r="W224" s="136"/>
      <c r="X224" s="136"/>
      <c r="Y224" s="134"/>
      <c r="Z224" s="136"/>
      <c r="AA224" s="128"/>
      <c r="AB224" s="134"/>
      <c r="AC224" s="133"/>
      <c r="AD224" s="133"/>
      <c r="AE224" s="128"/>
      <c r="AF224" s="133"/>
    </row>
    <row r="225" spans="1:32" ht="12.75" customHeight="1" hidden="1">
      <c r="A225" s="133"/>
      <c r="B225" s="133"/>
      <c r="C225" s="132"/>
      <c r="D225" s="133"/>
      <c r="E225" s="133"/>
      <c r="F225" s="133"/>
      <c r="G225" s="134"/>
      <c r="H225" s="133"/>
      <c r="I225" s="133"/>
      <c r="J225" s="133"/>
      <c r="K225" s="135"/>
      <c r="L225" s="128"/>
      <c r="M225" s="133"/>
      <c r="N225" s="128"/>
      <c r="O225" s="133"/>
      <c r="P225" s="131"/>
      <c r="Q225" s="133"/>
      <c r="R225" s="54"/>
      <c r="S225" s="134"/>
      <c r="T225" s="133"/>
      <c r="U225" s="149"/>
      <c r="V225" s="134"/>
      <c r="W225" s="136"/>
      <c r="X225" s="136"/>
      <c r="Y225" s="134"/>
      <c r="Z225" s="136"/>
      <c r="AA225" s="128"/>
      <c r="AB225" s="134"/>
      <c r="AC225" s="133"/>
      <c r="AD225" s="133"/>
      <c r="AE225" s="128"/>
      <c r="AF225" s="133"/>
    </row>
    <row r="226" spans="1:32" ht="12.75" customHeight="1" hidden="1">
      <c r="A226" s="133"/>
      <c r="B226" s="133"/>
      <c r="C226" s="132"/>
      <c r="D226" s="133"/>
      <c r="E226" s="133"/>
      <c r="F226" s="133"/>
      <c r="G226" s="134"/>
      <c r="H226" s="133"/>
      <c r="I226" s="133"/>
      <c r="J226" s="133"/>
      <c r="K226" s="135"/>
      <c r="L226" s="128"/>
      <c r="M226" s="133"/>
      <c r="N226" s="128"/>
      <c r="O226" s="133"/>
      <c r="P226" s="131"/>
      <c r="Q226" s="133"/>
      <c r="R226" s="54"/>
      <c r="S226" s="134"/>
      <c r="T226" s="133"/>
      <c r="U226" s="149"/>
      <c r="V226" s="134"/>
      <c r="W226" s="136"/>
      <c r="X226" s="136"/>
      <c r="Y226" s="134"/>
      <c r="Z226" s="136"/>
      <c r="AA226" s="128"/>
      <c r="AB226" s="134"/>
      <c r="AC226" s="133"/>
      <c r="AD226" s="133"/>
      <c r="AE226" s="128"/>
      <c r="AF226" s="133"/>
    </row>
    <row r="227" spans="1:32" ht="12.75" customHeight="1" hidden="1">
      <c r="A227" s="133"/>
      <c r="B227" s="133"/>
      <c r="C227" s="132"/>
      <c r="D227" s="133"/>
      <c r="E227" s="133"/>
      <c r="F227" s="133"/>
      <c r="G227" s="134"/>
      <c r="H227" s="133"/>
      <c r="I227" s="133"/>
      <c r="J227" s="133"/>
      <c r="K227" s="135"/>
      <c r="L227" s="128"/>
      <c r="M227" s="133"/>
      <c r="N227" s="128"/>
      <c r="O227" s="133"/>
      <c r="P227" s="131"/>
      <c r="Q227" s="133"/>
      <c r="R227" s="54"/>
      <c r="S227" s="134"/>
      <c r="T227" s="133"/>
      <c r="U227" s="149"/>
      <c r="V227" s="134"/>
      <c r="W227" s="136"/>
      <c r="X227" s="136"/>
      <c r="Y227" s="134"/>
      <c r="Z227" s="136"/>
      <c r="AA227" s="128"/>
      <c r="AB227" s="134"/>
      <c r="AC227" s="133"/>
      <c r="AD227" s="133"/>
      <c r="AE227" s="128"/>
      <c r="AF227" s="133"/>
    </row>
    <row r="228" spans="1:32" ht="12.75" customHeight="1" hidden="1">
      <c r="A228" s="133"/>
      <c r="B228" s="133"/>
      <c r="C228" s="132"/>
      <c r="D228" s="133"/>
      <c r="E228" s="133"/>
      <c r="F228" s="133"/>
      <c r="G228" s="134"/>
      <c r="H228" s="133"/>
      <c r="I228" s="133"/>
      <c r="J228" s="133"/>
      <c r="K228" s="135"/>
      <c r="L228" s="128"/>
      <c r="M228" s="133"/>
      <c r="N228" s="128"/>
      <c r="O228" s="133"/>
      <c r="P228" s="131"/>
      <c r="Q228" s="133"/>
      <c r="R228" s="54"/>
      <c r="S228" s="134"/>
      <c r="T228" s="133"/>
      <c r="U228" s="149"/>
      <c r="V228" s="134"/>
      <c r="W228" s="136"/>
      <c r="X228" s="136"/>
      <c r="Y228" s="134"/>
      <c r="Z228" s="136"/>
      <c r="AA228" s="128"/>
      <c r="AB228" s="134"/>
      <c r="AC228" s="133"/>
      <c r="AD228" s="133"/>
      <c r="AE228" s="128"/>
      <c r="AF228" s="133"/>
    </row>
    <row r="229" spans="1:32" ht="12.75" customHeight="1" hidden="1">
      <c r="A229" s="133"/>
      <c r="B229" s="133"/>
      <c r="C229" s="132"/>
      <c r="D229" s="133"/>
      <c r="E229" s="133"/>
      <c r="F229" s="133"/>
      <c r="G229" s="134"/>
      <c r="H229" s="133"/>
      <c r="I229" s="133"/>
      <c r="J229" s="133"/>
      <c r="K229" s="135"/>
      <c r="L229" s="128"/>
      <c r="M229" s="133"/>
      <c r="N229" s="128"/>
      <c r="O229" s="133"/>
      <c r="P229" s="131"/>
      <c r="Q229" s="133"/>
      <c r="R229" s="54"/>
      <c r="S229" s="134"/>
      <c r="T229" s="133"/>
      <c r="U229" s="149"/>
      <c r="V229" s="134"/>
      <c r="W229" s="136"/>
      <c r="X229" s="136"/>
      <c r="Y229" s="134"/>
      <c r="Z229" s="136"/>
      <c r="AA229" s="128"/>
      <c r="AB229" s="134"/>
      <c r="AC229" s="133"/>
      <c r="AD229" s="133"/>
      <c r="AE229" s="128"/>
      <c r="AF229" s="133"/>
    </row>
    <row r="230" spans="1:32" ht="12.75" customHeight="1" hidden="1">
      <c r="A230" s="133"/>
      <c r="B230" s="133"/>
      <c r="C230" s="132"/>
      <c r="D230" s="133"/>
      <c r="E230" s="133"/>
      <c r="F230" s="133"/>
      <c r="G230" s="134"/>
      <c r="H230" s="133"/>
      <c r="I230" s="133"/>
      <c r="J230" s="133"/>
      <c r="K230" s="135"/>
      <c r="L230" s="128"/>
      <c r="M230" s="133"/>
      <c r="N230" s="128"/>
      <c r="O230" s="133"/>
      <c r="P230" s="131"/>
      <c r="Q230" s="133"/>
      <c r="R230" s="54"/>
      <c r="S230" s="134"/>
      <c r="T230" s="133"/>
      <c r="U230" s="149"/>
      <c r="V230" s="134"/>
      <c r="W230" s="136"/>
      <c r="X230" s="136"/>
      <c r="Y230" s="134"/>
      <c r="Z230" s="136"/>
      <c r="AA230" s="128"/>
      <c r="AB230" s="134"/>
      <c r="AC230" s="133"/>
      <c r="AD230" s="133"/>
      <c r="AE230" s="128"/>
      <c r="AF230" s="133"/>
    </row>
    <row r="231" spans="1:32" ht="12.75" customHeight="1" hidden="1">
      <c r="A231" s="133"/>
      <c r="B231" s="133"/>
      <c r="C231" s="132"/>
      <c r="D231" s="133"/>
      <c r="E231" s="133"/>
      <c r="F231" s="133"/>
      <c r="G231" s="134"/>
      <c r="H231" s="133"/>
      <c r="I231" s="133"/>
      <c r="J231" s="133"/>
      <c r="K231" s="135"/>
      <c r="L231" s="128"/>
      <c r="M231" s="133"/>
      <c r="N231" s="128"/>
      <c r="O231" s="133"/>
      <c r="P231" s="131"/>
      <c r="Q231" s="133"/>
      <c r="R231" s="54"/>
      <c r="S231" s="134"/>
      <c r="T231" s="133"/>
      <c r="U231" s="149"/>
      <c r="V231" s="134"/>
      <c r="W231" s="136"/>
      <c r="X231" s="136"/>
      <c r="Y231" s="134"/>
      <c r="Z231" s="136"/>
      <c r="AA231" s="128"/>
      <c r="AB231" s="134"/>
      <c r="AC231" s="133"/>
      <c r="AD231" s="133"/>
      <c r="AE231" s="128"/>
      <c r="AF231" s="133"/>
    </row>
    <row r="232" spans="1:32" ht="12.75" customHeight="1" hidden="1">
      <c r="A232" s="133"/>
      <c r="B232" s="133"/>
      <c r="C232" s="132"/>
      <c r="D232" s="133"/>
      <c r="E232" s="133"/>
      <c r="F232" s="133"/>
      <c r="G232" s="134"/>
      <c r="H232" s="133"/>
      <c r="I232" s="133"/>
      <c r="J232" s="133"/>
      <c r="K232" s="135"/>
      <c r="L232" s="128"/>
      <c r="M232" s="133"/>
      <c r="N232" s="128"/>
      <c r="O232" s="133"/>
      <c r="P232" s="131"/>
      <c r="Q232" s="133"/>
      <c r="R232" s="54"/>
      <c r="S232" s="134"/>
      <c r="T232" s="133"/>
      <c r="U232" s="149"/>
      <c r="V232" s="134"/>
      <c r="W232" s="136"/>
      <c r="X232" s="136"/>
      <c r="Y232" s="134"/>
      <c r="Z232" s="136"/>
      <c r="AA232" s="128"/>
      <c r="AB232" s="134"/>
      <c r="AC232" s="133"/>
      <c r="AD232" s="133"/>
      <c r="AE232" s="128"/>
      <c r="AF232" s="133"/>
    </row>
    <row r="233" spans="1:32" ht="12.75" customHeight="1" hidden="1">
      <c r="A233" s="133"/>
      <c r="B233" s="133"/>
      <c r="C233" s="132"/>
      <c r="D233" s="133"/>
      <c r="E233" s="133"/>
      <c r="F233" s="133"/>
      <c r="G233" s="134"/>
      <c r="H233" s="133"/>
      <c r="I233" s="133"/>
      <c r="J233" s="133"/>
      <c r="K233" s="135"/>
      <c r="L233" s="128"/>
      <c r="M233" s="133"/>
      <c r="N233" s="128"/>
      <c r="O233" s="133"/>
      <c r="P233" s="131"/>
      <c r="Q233" s="133"/>
      <c r="R233" s="54"/>
      <c r="S233" s="134"/>
      <c r="T233" s="133"/>
      <c r="U233" s="149"/>
      <c r="V233" s="134"/>
      <c r="W233" s="136"/>
      <c r="X233" s="136"/>
      <c r="Y233" s="134"/>
      <c r="Z233" s="136"/>
      <c r="AA233" s="128"/>
      <c r="AB233" s="134"/>
      <c r="AC233" s="133"/>
      <c r="AD233" s="133"/>
      <c r="AE233" s="128"/>
      <c r="AF233" s="133"/>
    </row>
    <row r="234" spans="1:32" ht="12.75" customHeight="1" hidden="1">
      <c r="A234" s="133"/>
      <c r="B234" s="133"/>
      <c r="C234" s="132"/>
      <c r="D234" s="133"/>
      <c r="E234" s="133"/>
      <c r="F234" s="133"/>
      <c r="G234" s="134"/>
      <c r="H234" s="133"/>
      <c r="I234" s="133"/>
      <c r="J234" s="133"/>
      <c r="K234" s="135"/>
      <c r="L234" s="128"/>
      <c r="M234" s="133"/>
      <c r="N234" s="128"/>
      <c r="O234" s="133"/>
      <c r="P234" s="131"/>
      <c r="Q234" s="133"/>
      <c r="R234" s="54"/>
      <c r="S234" s="134"/>
      <c r="T234" s="133"/>
      <c r="U234" s="149"/>
      <c r="V234" s="134"/>
      <c r="W234" s="136"/>
      <c r="X234" s="136"/>
      <c r="Y234" s="134"/>
      <c r="Z234" s="136"/>
      <c r="AA234" s="128"/>
      <c r="AB234" s="134"/>
      <c r="AC234" s="133"/>
      <c r="AD234" s="133"/>
      <c r="AE234" s="128"/>
      <c r="AF234" s="133"/>
    </row>
    <row r="235" spans="1:32" ht="12.75" customHeight="1" hidden="1">
      <c r="A235" s="133"/>
      <c r="B235" s="133"/>
      <c r="C235" s="132"/>
      <c r="D235" s="133"/>
      <c r="E235" s="133"/>
      <c r="F235" s="133"/>
      <c r="G235" s="134"/>
      <c r="H235" s="133"/>
      <c r="I235" s="133"/>
      <c r="J235" s="133"/>
      <c r="K235" s="135"/>
      <c r="L235" s="128"/>
      <c r="M235" s="133"/>
      <c r="N235" s="128"/>
      <c r="O235" s="133"/>
      <c r="P235" s="131"/>
      <c r="Q235" s="133"/>
      <c r="R235" s="54"/>
      <c r="S235" s="134"/>
      <c r="T235" s="133"/>
      <c r="U235" s="149"/>
      <c r="V235" s="134"/>
      <c r="W235" s="136"/>
      <c r="X235" s="136"/>
      <c r="Y235" s="134"/>
      <c r="Z235" s="136"/>
      <c r="AA235" s="128"/>
      <c r="AB235" s="134"/>
      <c r="AC235" s="133"/>
      <c r="AD235" s="133"/>
      <c r="AE235" s="128"/>
      <c r="AF235" s="133"/>
    </row>
    <row r="236" spans="1:32" ht="12.75" customHeight="1" hidden="1">
      <c r="A236" s="133"/>
      <c r="B236" s="133"/>
      <c r="C236" s="132"/>
      <c r="D236" s="133"/>
      <c r="E236" s="133"/>
      <c r="F236" s="133"/>
      <c r="G236" s="134"/>
      <c r="H236" s="133"/>
      <c r="I236" s="133"/>
      <c r="J236" s="133"/>
      <c r="K236" s="135"/>
      <c r="L236" s="128"/>
      <c r="M236" s="133"/>
      <c r="N236" s="128"/>
      <c r="O236" s="133"/>
      <c r="P236" s="131"/>
      <c r="Q236" s="133"/>
      <c r="R236" s="54"/>
      <c r="S236" s="134"/>
      <c r="T236" s="133"/>
      <c r="U236" s="149"/>
      <c r="V236" s="134"/>
      <c r="W236" s="136"/>
      <c r="X236" s="136"/>
      <c r="Y236" s="134"/>
      <c r="Z236" s="136"/>
      <c r="AA236" s="128"/>
      <c r="AB236" s="134"/>
      <c r="AC236" s="133"/>
      <c r="AD236" s="133"/>
      <c r="AE236" s="128"/>
      <c r="AF236" s="133"/>
    </row>
    <row r="237" spans="1:32" ht="12.75" customHeight="1" hidden="1">
      <c r="A237" s="133"/>
      <c r="B237" s="133"/>
      <c r="C237" s="132"/>
      <c r="D237" s="133"/>
      <c r="E237" s="133"/>
      <c r="F237" s="133"/>
      <c r="G237" s="134"/>
      <c r="H237" s="133"/>
      <c r="I237" s="133"/>
      <c r="J237" s="133"/>
      <c r="K237" s="135"/>
      <c r="L237" s="128"/>
      <c r="M237" s="133"/>
      <c r="N237" s="128"/>
      <c r="O237" s="133"/>
      <c r="P237" s="131"/>
      <c r="Q237" s="133"/>
      <c r="R237" s="54"/>
      <c r="S237" s="134"/>
      <c r="T237" s="133"/>
      <c r="U237" s="149"/>
      <c r="V237" s="134"/>
      <c r="W237" s="136"/>
      <c r="X237" s="136"/>
      <c r="Y237" s="134"/>
      <c r="Z237" s="136"/>
      <c r="AA237" s="128"/>
      <c r="AB237" s="134"/>
      <c r="AC237" s="133"/>
      <c r="AD237" s="133"/>
      <c r="AE237" s="128"/>
      <c r="AF237" s="133"/>
    </row>
    <row r="238" spans="1:32" ht="12.75" customHeight="1" hidden="1">
      <c r="A238" s="133"/>
      <c r="B238" s="133"/>
      <c r="C238" s="132"/>
      <c r="D238" s="133"/>
      <c r="E238" s="133"/>
      <c r="F238" s="133"/>
      <c r="G238" s="134"/>
      <c r="H238" s="133"/>
      <c r="I238" s="133"/>
      <c r="J238" s="133"/>
      <c r="K238" s="135"/>
      <c r="L238" s="128"/>
      <c r="M238" s="133"/>
      <c r="N238" s="128"/>
      <c r="O238" s="133"/>
      <c r="P238" s="131"/>
      <c r="Q238" s="133"/>
      <c r="R238" s="54"/>
      <c r="S238" s="134"/>
      <c r="T238" s="133"/>
      <c r="U238" s="149"/>
      <c r="V238" s="134"/>
      <c r="W238" s="136"/>
      <c r="X238" s="136"/>
      <c r="Y238" s="134"/>
      <c r="Z238" s="136"/>
      <c r="AA238" s="128"/>
      <c r="AB238" s="134"/>
      <c r="AC238" s="133"/>
      <c r="AD238" s="133"/>
      <c r="AE238" s="128"/>
      <c r="AF238" s="133"/>
    </row>
    <row r="239" spans="1:32" ht="12.75" customHeight="1" hidden="1">
      <c r="A239" s="133"/>
      <c r="B239" s="133"/>
      <c r="C239" s="132"/>
      <c r="D239" s="133"/>
      <c r="E239" s="133"/>
      <c r="F239" s="133"/>
      <c r="G239" s="134"/>
      <c r="H239" s="133"/>
      <c r="I239" s="133"/>
      <c r="J239" s="133"/>
      <c r="K239" s="135"/>
      <c r="L239" s="128"/>
      <c r="M239" s="133"/>
      <c r="N239" s="128"/>
      <c r="O239" s="133"/>
      <c r="P239" s="131"/>
      <c r="Q239" s="133"/>
      <c r="R239" s="54"/>
      <c r="S239" s="134"/>
      <c r="T239" s="133"/>
      <c r="U239" s="149"/>
      <c r="V239" s="134"/>
      <c r="W239" s="136"/>
      <c r="X239" s="136"/>
      <c r="Y239" s="134"/>
      <c r="Z239" s="136"/>
      <c r="AA239" s="128"/>
      <c r="AB239" s="134"/>
      <c r="AC239" s="133"/>
      <c r="AD239" s="133"/>
      <c r="AE239" s="128"/>
      <c r="AF239" s="133"/>
    </row>
    <row r="240" spans="1:32" ht="12.75" customHeight="1" hidden="1">
      <c r="A240" s="133"/>
      <c r="B240" s="133"/>
      <c r="C240" s="132"/>
      <c r="D240" s="133"/>
      <c r="E240" s="133"/>
      <c r="F240" s="133"/>
      <c r="G240" s="134"/>
      <c r="H240" s="133"/>
      <c r="I240" s="133"/>
      <c r="J240" s="133"/>
      <c r="K240" s="135"/>
      <c r="L240" s="128"/>
      <c r="M240" s="133"/>
      <c r="N240" s="128"/>
      <c r="O240" s="133"/>
      <c r="P240" s="131"/>
      <c r="Q240" s="133"/>
      <c r="R240" s="54"/>
      <c r="S240" s="134"/>
      <c r="T240" s="133"/>
      <c r="U240" s="149"/>
      <c r="V240" s="134"/>
      <c r="W240" s="136"/>
      <c r="X240" s="136"/>
      <c r="Y240" s="134"/>
      <c r="Z240" s="136"/>
      <c r="AA240" s="128"/>
      <c r="AB240" s="134"/>
      <c r="AC240" s="133"/>
      <c r="AD240" s="133"/>
      <c r="AE240" s="128"/>
      <c r="AF240" s="133"/>
    </row>
    <row r="241" spans="1:32" ht="12.75" customHeight="1" hidden="1">
      <c r="A241" s="133"/>
      <c r="B241" s="133"/>
      <c r="C241" s="132"/>
      <c r="D241" s="133"/>
      <c r="E241" s="133"/>
      <c r="F241" s="133"/>
      <c r="G241" s="134"/>
      <c r="H241" s="133"/>
      <c r="I241" s="133"/>
      <c r="J241" s="133"/>
      <c r="K241" s="135"/>
      <c r="L241" s="128"/>
      <c r="M241" s="133"/>
      <c r="N241" s="128"/>
      <c r="O241" s="133"/>
      <c r="P241" s="131"/>
      <c r="Q241" s="133"/>
      <c r="R241" s="54"/>
      <c r="S241" s="134"/>
      <c r="T241" s="133"/>
      <c r="U241" s="149"/>
      <c r="V241" s="134"/>
      <c r="W241" s="136"/>
      <c r="X241" s="136"/>
      <c r="Y241" s="134"/>
      <c r="Z241" s="136"/>
      <c r="AA241" s="128"/>
      <c r="AB241" s="134"/>
      <c r="AC241" s="133"/>
      <c r="AD241" s="133"/>
      <c r="AE241" s="128"/>
      <c r="AF241" s="133"/>
    </row>
    <row r="242" spans="1:32" ht="12.75" customHeight="1" hidden="1">
      <c r="A242" s="133"/>
      <c r="B242" s="133"/>
      <c r="C242" s="132"/>
      <c r="D242" s="133"/>
      <c r="E242" s="133"/>
      <c r="F242" s="133"/>
      <c r="G242" s="134"/>
      <c r="H242" s="133"/>
      <c r="I242" s="133"/>
      <c r="J242" s="133"/>
      <c r="K242" s="135"/>
      <c r="L242" s="128"/>
      <c r="M242" s="133"/>
      <c r="N242" s="128"/>
      <c r="O242" s="133"/>
      <c r="P242" s="131"/>
      <c r="Q242" s="133"/>
      <c r="R242" s="54"/>
      <c r="S242" s="134"/>
      <c r="T242" s="133"/>
      <c r="U242" s="149"/>
      <c r="V242" s="134"/>
      <c r="W242" s="136"/>
      <c r="X242" s="136"/>
      <c r="Y242" s="134"/>
      <c r="Z242" s="136"/>
      <c r="AA242" s="128"/>
      <c r="AB242" s="134"/>
      <c r="AC242" s="133"/>
      <c r="AD242" s="133"/>
      <c r="AE242" s="128"/>
      <c r="AF242" s="133"/>
    </row>
    <row r="243" spans="1:32" ht="12.75" customHeight="1" hidden="1">
      <c r="A243" s="133"/>
      <c r="B243" s="133"/>
      <c r="C243" s="132"/>
      <c r="D243" s="133"/>
      <c r="E243" s="133"/>
      <c r="F243" s="133"/>
      <c r="G243" s="134"/>
      <c r="H243" s="133"/>
      <c r="I243" s="133"/>
      <c r="J243" s="133"/>
      <c r="K243" s="135"/>
      <c r="L243" s="128"/>
      <c r="M243" s="133"/>
      <c r="N243" s="128"/>
      <c r="O243" s="133"/>
      <c r="P243" s="131"/>
      <c r="Q243" s="133"/>
      <c r="R243" s="54"/>
      <c r="S243" s="134"/>
      <c r="T243" s="133"/>
      <c r="U243" s="149"/>
      <c r="V243" s="134"/>
      <c r="W243" s="136"/>
      <c r="X243" s="136"/>
      <c r="Y243" s="134"/>
      <c r="Z243" s="136"/>
      <c r="AA243" s="128"/>
      <c r="AB243" s="134"/>
      <c r="AC243" s="133"/>
      <c r="AD243" s="133"/>
      <c r="AE243" s="128"/>
      <c r="AF243" s="133"/>
    </row>
    <row r="244" spans="1:32" ht="12.75" customHeight="1" hidden="1">
      <c r="A244" s="133"/>
      <c r="B244" s="133"/>
      <c r="C244" s="132"/>
      <c r="D244" s="133"/>
      <c r="E244" s="133"/>
      <c r="F244" s="133"/>
      <c r="G244" s="134"/>
      <c r="H244" s="133"/>
      <c r="I244" s="133"/>
      <c r="J244" s="133"/>
      <c r="K244" s="135"/>
      <c r="L244" s="128"/>
      <c r="M244" s="133"/>
      <c r="N244" s="128"/>
      <c r="O244" s="133"/>
      <c r="P244" s="131"/>
      <c r="Q244" s="133"/>
      <c r="R244" s="54"/>
      <c r="S244" s="134"/>
      <c r="T244" s="133"/>
      <c r="U244" s="149"/>
      <c r="V244" s="134"/>
      <c r="W244" s="136"/>
      <c r="X244" s="136"/>
      <c r="Y244" s="134"/>
      <c r="Z244" s="136"/>
      <c r="AA244" s="128"/>
      <c r="AB244" s="134"/>
      <c r="AC244" s="133"/>
      <c r="AD244" s="133"/>
      <c r="AE244" s="128"/>
      <c r="AF244" s="133"/>
    </row>
    <row r="245" spans="1:32" ht="12.75" customHeight="1" hidden="1">
      <c r="A245" s="133"/>
      <c r="B245" s="133"/>
      <c r="C245" s="132"/>
      <c r="D245" s="133"/>
      <c r="E245" s="133"/>
      <c r="F245" s="133"/>
      <c r="G245" s="134"/>
      <c r="H245" s="133"/>
      <c r="I245" s="133"/>
      <c r="J245" s="133"/>
      <c r="K245" s="135"/>
      <c r="L245" s="128"/>
      <c r="M245" s="133"/>
      <c r="N245" s="128"/>
      <c r="O245" s="133"/>
      <c r="P245" s="131"/>
      <c r="Q245" s="133"/>
      <c r="R245" s="54"/>
      <c r="S245" s="134"/>
      <c r="T245" s="133"/>
      <c r="U245" s="149"/>
      <c r="V245" s="134"/>
      <c r="W245" s="136"/>
      <c r="X245" s="136"/>
      <c r="Y245" s="134"/>
      <c r="Z245" s="136"/>
      <c r="AA245" s="128"/>
      <c r="AB245" s="134"/>
      <c r="AC245" s="133"/>
      <c r="AD245" s="133"/>
      <c r="AE245" s="128"/>
      <c r="AF245" s="133"/>
    </row>
    <row r="246" spans="1:32" ht="12.75" customHeight="1" hidden="1">
      <c r="A246" s="133"/>
      <c r="B246" s="133"/>
      <c r="C246" s="132"/>
      <c r="D246" s="133"/>
      <c r="E246" s="133"/>
      <c r="F246" s="133"/>
      <c r="G246" s="134"/>
      <c r="H246" s="133"/>
      <c r="I246" s="133"/>
      <c r="J246" s="133"/>
      <c r="K246" s="135"/>
      <c r="L246" s="128"/>
      <c r="M246" s="133"/>
      <c r="N246" s="128"/>
      <c r="O246" s="133"/>
      <c r="P246" s="131"/>
      <c r="Q246" s="133"/>
      <c r="R246" s="54"/>
      <c r="S246" s="134"/>
      <c r="T246" s="133"/>
      <c r="U246" s="149"/>
      <c r="V246" s="134"/>
      <c r="W246" s="136"/>
      <c r="X246" s="136"/>
      <c r="Y246" s="134"/>
      <c r="Z246" s="136"/>
      <c r="AA246" s="128"/>
      <c r="AB246" s="134"/>
      <c r="AC246" s="133"/>
      <c r="AD246" s="133"/>
      <c r="AE246" s="128"/>
      <c r="AF246" s="133"/>
    </row>
    <row r="247" spans="1:32" ht="12.75" customHeight="1" hidden="1">
      <c r="A247" s="133"/>
      <c r="B247" s="133"/>
      <c r="C247" s="132"/>
      <c r="D247" s="133"/>
      <c r="E247" s="133"/>
      <c r="F247" s="133"/>
      <c r="G247" s="134"/>
      <c r="H247" s="133"/>
      <c r="I247" s="133"/>
      <c r="J247" s="133"/>
      <c r="K247" s="135"/>
      <c r="L247" s="128"/>
      <c r="M247" s="133"/>
      <c r="N247" s="128"/>
      <c r="O247" s="133"/>
      <c r="P247" s="131"/>
      <c r="Q247" s="133"/>
      <c r="R247" s="54"/>
      <c r="S247" s="134"/>
      <c r="T247" s="133"/>
      <c r="U247" s="149"/>
      <c r="V247" s="134"/>
      <c r="W247" s="136"/>
      <c r="X247" s="136"/>
      <c r="Y247" s="134"/>
      <c r="Z247" s="136"/>
      <c r="AA247" s="128"/>
      <c r="AB247" s="134"/>
      <c r="AC247" s="133"/>
      <c r="AD247" s="133"/>
      <c r="AE247" s="128"/>
      <c r="AF247" s="133"/>
    </row>
    <row r="248" spans="1:32" ht="12.75" customHeight="1" hidden="1">
      <c r="A248" s="133"/>
      <c r="B248" s="133"/>
      <c r="C248" s="132"/>
      <c r="D248" s="133"/>
      <c r="E248" s="133"/>
      <c r="F248" s="133"/>
      <c r="G248" s="134"/>
      <c r="H248" s="133"/>
      <c r="I248" s="133"/>
      <c r="J248" s="133"/>
      <c r="K248" s="135"/>
      <c r="L248" s="128"/>
      <c r="M248" s="133"/>
      <c r="N248" s="128"/>
      <c r="O248" s="133"/>
      <c r="P248" s="131"/>
      <c r="Q248" s="133"/>
      <c r="R248" s="54"/>
      <c r="S248" s="134"/>
      <c r="T248" s="133"/>
      <c r="U248" s="149"/>
      <c r="V248" s="134"/>
      <c r="W248" s="136"/>
      <c r="X248" s="136"/>
      <c r="Y248" s="134"/>
      <c r="Z248" s="136"/>
      <c r="AA248" s="128"/>
      <c r="AB248" s="134"/>
      <c r="AC248" s="133"/>
      <c r="AD248" s="133"/>
      <c r="AE248" s="128"/>
      <c r="AF248" s="133"/>
    </row>
    <row r="249" spans="1:32" ht="12.75" customHeight="1" hidden="1">
      <c r="A249" s="133"/>
      <c r="B249" s="133"/>
      <c r="C249" s="132"/>
      <c r="D249" s="133"/>
      <c r="E249" s="133"/>
      <c r="F249" s="133"/>
      <c r="G249" s="134"/>
      <c r="H249" s="133"/>
      <c r="I249" s="133"/>
      <c r="J249" s="133"/>
      <c r="K249" s="135"/>
      <c r="L249" s="128"/>
      <c r="M249" s="133"/>
      <c r="N249" s="128"/>
      <c r="O249" s="133"/>
      <c r="P249" s="131"/>
      <c r="Q249" s="133"/>
      <c r="R249" s="54"/>
      <c r="S249" s="134"/>
      <c r="T249" s="133"/>
      <c r="U249" s="149"/>
      <c r="V249" s="134"/>
      <c r="W249" s="136"/>
      <c r="X249" s="136"/>
      <c r="Y249" s="134"/>
      <c r="Z249" s="136"/>
      <c r="AA249" s="128"/>
      <c r="AB249" s="134"/>
      <c r="AC249" s="133"/>
      <c r="AD249" s="133"/>
      <c r="AE249" s="128"/>
      <c r="AF249" s="133"/>
    </row>
    <row r="250" spans="1:32" ht="12.75" customHeight="1" hidden="1">
      <c r="A250" s="133"/>
      <c r="B250" s="133"/>
      <c r="C250" s="132"/>
      <c r="D250" s="133"/>
      <c r="E250" s="133"/>
      <c r="F250" s="133"/>
      <c r="G250" s="134"/>
      <c r="H250" s="133"/>
      <c r="I250" s="133"/>
      <c r="J250" s="133"/>
      <c r="K250" s="135"/>
      <c r="L250" s="128"/>
      <c r="M250" s="133"/>
      <c r="N250" s="128"/>
      <c r="O250" s="133"/>
      <c r="P250" s="131"/>
      <c r="Q250" s="133"/>
      <c r="R250" s="54"/>
      <c r="S250" s="134"/>
      <c r="T250" s="133"/>
      <c r="U250" s="149"/>
      <c r="V250" s="134"/>
      <c r="W250" s="136"/>
      <c r="X250" s="136"/>
      <c r="Y250" s="134"/>
      <c r="Z250" s="136"/>
      <c r="AA250" s="128"/>
      <c r="AB250" s="134"/>
      <c r="AC250" s="133"/>
      <c r="AD250" s="133"/>
      <c r="AE250" s="128"/>
      <c r="AF250" s="133"/>
    </row>
    <row r="251" spans="1:32" ht="12.75" customHeight="1" hidden="1">
      <c r="A251" s="133"/>
      <c r="B251" s="133"/>
      <c r="C251" s="132"/>
      <c r="D251" s="133"/>
      <c r="E251" s="133"/>
      <c r="F251" s="133"/>
      <c r="G251" s="134"/>
      <c r="H251" s="133"/>
      <c r="I251" s="133"/>
      <c r="J251" s="133"/>
      <c r="K251" s="135"/>
      <c r="L251" s="128"/>
      <c r="M251" s="133"/>
      <c r="N251" s="128"/>
      <c r="O251" s="133"/>
      <c r="P251" s="131"/>
      <c r="Q251" s="133"/>
      <c r="R251" s="54"/>
      <c r="S251" s="134"/>
      <c r="T251" s="133"/>
      <c r="U251" s="149"/>
      <c r="V251" s="134"/>
      <c r="W251" s="136"/>
      <c r="X251" s="136"/>
      <c r="Y251" s="134"/>
      <c r="Z251" s="136"/>
      <c r="AA251" s="128"/>
      <c r="AB251" s="134"/>
      <c r="AC251" s="133"/>
      <c r="AD251" s="133"/>
      <c r="AE251" s="128"/>
      <c r="AF251" s="133"/>
    </row>
    <row r="252" spans="1:32" ht="12.75" customHeight="1" hidden="1">
      <c r="A252" s="133"/>
      <c r="B252" s="133"/>
      <c r="C252" s="132"/>
      <c r="D252" s="133"/>
      <c r="E252" s="133"/>
      <c r="F252" s="133"/>
      <c r="G252" s="134"/>
      <c r="H252" s="133"/>
      <c r="I252" s="133"/>
      <c r="J252" s="133"/>
      <c r="K252" s="135"/>
      <c r="L252" s="128"/>
      <c r="M252" s="133"/>
      <c r="N252" s="128"/>
      <c r="O252" s="133"/>
      <c r="P252" s="131"/>
      <c r="Q252" s="133"/>
      <c r="R252" s="54"/>
      <c r="S252" s="134"/>
      <c r="T252" s="133"/>
      <c r="U252" s="149"/>
      <c r="V252" s="134"/>
      <c r="W252" s="136"/>
      <c r="X252" s="136"/>
      <c r="Y252" s="134"/>
      <c r="Z252" s="136"/>
      <c r="AA252" s="128"/>
      <c r="AB252" s="134"/>
      <c r="AC252" s="133"/>
      <c r="AD252" s="133"/>
      <c r="AE252" s="128"/>
      <c r="AF252" s="133"/>
    </row>
    <row r="253" spans="1:32" ht="12.75" customHeight="1" hidden="1">
      <c r="A253" s="133"/>
      <c r="B253" s="133"/>
      <c r="C253" s="132"/>
      <c r="D253" s="133"/>
      <c r="E253" s="133"/>
      <c r="F253" s="133"/>
      <c r="G253" s="134"/>
      <c r="H253" s="133"/>
      <c r="I253" s="133"/>
      <c r="J253" s="133"/>
      <c r="K253" s="135"/>
      <c r="L253" s="128"/>
      <c r="M253" s="133"/>
      <c r="N253" s="128"/>
      <c r="O253" s="133"/>
      <c r="P253" s="131"/>
      <c r="Q253" s="133"/>
      <c r="R253" s="54"/>
      <c r="S253" s="134"/>
      <c r="T253" s="133"/>
      <c r="U253" s="149"/>
      <c r="V253" s="134"/>
      <c r="W253" s="136"/>
      <c r="X253" s="136"/>
      <c r="Y253" s="134"/>
      <c r="Z253" s="136"/>
      <c r="AA253" s="128"/>
      <c r="AB253" s="134"/>
      <c r="AC253" s="133"/>
      <c r="AD253" s="133"/>
      <c r="AE253" s="128"/>
      <c r="AF253" s="133"/>
    </row>
    <row r="254" spans="1:32" ht="12.75" customHeight="1" hidden="1">
      <c r="A254" s="133"/>
      <c r="B254" s="133"/>
      <c r="C254" s="132"/>
      <c r="D254" s="133"/>
      <c r="E254" s="133"/>
      <c r="F254" s="133"/>
      <c r="G254" s="134"/>
      <c r="H254" s="133"/>
      <c r="I254" s="133"/>
      <c r="J254" s="133"/>
      <c r="K254" s="135"/>
      <c r="L254" s="128"/>
      <c r="M254" s="133"/>
      <c r="N254" s="128"/>
      <c r="O254" s="133"/>
      <c r="P254" s="131"/>
      <c r="Q254" s="133"/>
      <c r="R254" s="54"/>
      <c r="S254" s="134"/>
      <c r="T254" s="133"/>
      <c r="U254" s="149"/>
      <c r="V254" s="134"/>
      <c r="W254" s="136"/>
      <c r="X254" s="136"/>
      <c r="Y254" s="134"/>
      <c r="Z254" s="136"/>
      <c r="AA254" s="128"/>
      <c r="AB254" s="134"/>
      <c r="AC254" s="133"/>
      <c r="AD254" s="133"/>
      <c r="AE254" s="128"/>
      <c r="AF254" s="133"/>
    </row>
    <row r="255" spans="1:32" ht="12.75" customHeight="1" hidden="1">
      <c r="A255" s="133"/>
      <c r="B255" s="133"/>
      <c r="C255" s="132"/>
      <c r="D255" s="133"/>
      <c r="E255" s="133"/>
      <c r="F255" s="133"/>
      <c r="G255" s="134"/>
      <c r="H255" s="133"/>
      <c r="I255" s="133"/>
      <c r="J255" s="133"/>
      <c r="K255" s="135"/>
      <c r="L255" s="128"/>
      <c r="M255" s="133"/>
      <c r="N255" s="128"/>
      <c r="O255" s="133"/>
      <c r="P255" s="131"/>
      <c r="Q255" s="133"/>
      <c r="R255" s="54"/>
      <c r="S255" s="134"/>
      <c r="T255" s="133"/>
      <c r="U255" s="149"/>
      <c r="V255" s="134"/>
      <c r="W255" s="136"/>
      <c r="X255" s="136"/>
      <c r="Y255" s="134"/>
      <c r="Z255" s="136"/>
      <c r="AA255" s="128"/>
      <c r="AB255" s="134"/>
      <c r="AC255" s="133"/>
      <c r="AD255" s="133"/>
      <c r="AE255" s="128"/>
      <c r="AF255" s="133"/>
    </row>
    <row r="256" spans="1:32" ht="12.75" customHeight="1" hidden="1">
      <c r="A256" s="133"/>
      <c r="B256" s="133"/>
      <c r="C256" s="132"/>
      <c r="D256" s="133"/>
      <c r="E256" s="133"/>
      <c r="F256" s="133"/>
      <c r="G256" s="134"/>
      <c r="H256" s="133"/>
      <c r="I256" s="133"/>
      <c r="J256" s="133"/>
      <c r="K256" s="135"/>
      <c r="L256" s="128"/>
      <c r="M256" s="133"/>
      <c r="N256" s="128"/>
      <c r="O256" s="133"/>
      <c r="P256" s="131"/>
      <c r="Q256" s="133"/>
      <c r="R256" s="54"/>
      <c r="S256" s="134"/>
      <c r="T256" s="133"/>
      <c r="U256" s="149"/>
      <c r="V256" s="134"/>
      <c r="W256" s="136"/>
      <c r="X256" s="136"/>
      <c r="Y256" s="134"/>
      <c r="Z256" s="136"/>
      <c r="AA256" s="128"/>
      <c r="AB256" s="134"/>
      <c r="AC256" s="133"/>
      <c r="AD256" s="133"/>
      <c r="AE256" s="128"/>
      <c r="AF256" s="133"/>
    </row>
    <row r="257" spans="1:32" ht="12.75" customHeight="1" hidden="1">
      <c r="A257" s="133"/>
      <c r="B257" s="133"/>
      <c r="C257" s="132"/>
      <c r="D257" s="133"/>
      <c r="E257" s="133"/>
      <c r="F257" s="133"/>
      <c r="G257" s="134"/>
      <c r="H257" s="133"/>
      <c r="I257" s="133"/>
      <c r="J257" s="133"/>
      <c r="K257" s="135"/>
      <c r="L257" s="128"/>
      <c r="M257" s="133"/>
      <c r="N257" s="128"/>
      <c r="O257" s="133"/>
      <c r="P257" s="131"/>
      <c r="Q257" s="133"/>
      <c r="R257" s="54"/>
      <c r="S257" s="134"/>
      <c r="T257" s="133"/>
      <c r="U257" s="149"/>
      <c r="V257" s="134"/>
      <c r="W257" s="136"/>
      <c r="X257" s="136"/>
      <c r="Y257" s="134"/>
      <c r="Z257" s="136"/>
      <c r="AA257" s="128"/>
      <c r="AB257" s="134"/>
      <c r="AC257" s="133"/>
      <c r="AD257" s="133"/>
      <c r="AE257" s="128"/>
      <c r="AF257" s="133"/>
    </row>
    <row r="258" spans="1:32" ht="12.75" customHeight="1" hidden="1">
      <c r="A258" s="133"/>
      <c r="B258" s="133"/>
      <c r="C258" s="132"/>
      <c r="D258" s="133"/>
      <c r="E258" s="133"/>
      <c r="F258" s="133"/>
      <c r="G258" s="134"/>
      <c r="H258" s="133"/>
      <c r="I258" s="133"/>
      <c r="J258" s="133"/>
      <c r="K258" s="135"/>
      <c r="L258" s="128"/>
      <c r="M258" s="133"/>
      <c r="N258" s="128"/>
      <c r="O258" s="133"/>
      <c r="P258" s="131"/>
      <c r="Q258" s="133"/>
      <c r="R258" s="54"/>
      <c r="S258" s="134"/>
      <c r="T258" s="133"/>
      <c r="U258" s="149"/>
      <c r="V258" s="134"/>
      <c r="W258" s="136"/>
      <c r="X258" s="136"/>
      <c r="Y258" s="134"/>
      <c r="Z258" s="136"/>
      <c r="AA258" s="128"/>
      <c r="AB258" s="134"/>
      <c r="AC258" s="133"/>
      <c r="AD258" s="133"/>
      <c r="AE258" s="128"/>
      <c r="AF258" s="133"/>
    </row>
    <row r="259" spans="1:32" ht="12.75" customHeight="1" hidden="1">
      <c r="A259" s="133"/>
      <c r="B259" s="133"/>
      <c r="C259" s="132"/>
      <c r="D259" s="133"/>
      <c r="E259" s="133"/>
      <c r="F259" s="133"/>
      <c r="G259" s="134"/>
      <c r="H259" s="133"/>
      <c r="I259" s="133"/>
      <c r="J259" s="133"/>
      <c r="K259" s="135"/>
      <c r="L259" s="128"/>
      <c r="M259" s="133"/>
      <c r="N259" s="128"/>
      <c r="O259" s="133"/>
      <c r="P259" s="131"/>
      <c r="Q259" s="133"/>
      <c r="R259" s="54"/>
      <c r="S259" s="134"/>
      <c r="T259" s="133"/>
      <c r="U259" s="149"/>
      <c r="V259" s="134"/>
      <c r="W259" s="136"/>
      <c r="X259" s="136"/>
      <c r="Y259" s="134"/>
      <c r="Z259" s="136"/>
      <c r="AA259" s="128"/>
      <c r="AB259" s="134"/>
      <c r="AC259" s="133"/>
      <c r="AD259" s="133"/>
      <c r="AE259" s="128"/>
      <c r="AF259" s="133"/>
    </row>
    <row r="260" spans="1:32" ht="12.75" customHeight="1" hidden="1">
      <c r="A260" s="133"/>
      <c r="B260" s="133"/>
      <c r="C260" s="132"/>
      <c r="D260" s="133"/>
      <c r="E260" s="133"/>
      <c r="F260" s="133"/>
      <c r="G260" s="134"/>
      <c r="H260" s="133"/>
      <c r="I260" s="133"/>
      <c r="J260" s="133"/>
      <c r="K260" s="135"/>
      <c r="L260" s="128"/>
      <c r="M260" s="133"/>
      <c r="N260" s="128"/>
      <c r="O260" s="133"/>
      <c r="P260" s="131"/>
      <c r="Q260" s="133"/>
      <c r="R260" s="54"/>
      <c r="S260" s="134"/>
      <c r="T260" s="133"/>
      <c r="U260" s="149"/>
      <c r="V260" s="134"/>
      <c r="W260" s="136"/>
      <c r="X260" s="136"/>
      <c r="Y260" s="134"/>
      <c r="Z260" s="136"/>
      <c r="AA260" s="128"/>
      <c r="AB260" s="134"/>
      <c r="AC260" s="133"/>
      <c r="AD260" s="133"/>
      <c r="AE260" s="128"/>
      <c r="AF260" s="133"/>
    </row>
    <row r="261" spans="1:32" ht="12.75" customHeight="1" hidden="1">
      <c r="A261" s="133"/>
      <c r="B261" s="133"/>
      <c r="C261" s="132"/>
      <c r="D261" s="133"/>
      <c r="E261" s="133"/>
      <c r="F261" s="133"/>
      <c r="G261" s="134"/>
      <c r="H261" s="133"/>
      <c r="I261" s="133"/>
      <c r="J261" s="133"/>
      <c r="K261" s="135"/>
      <c r="L261" s="128"/>
      <c r="M261" s="133"/>
      <c r="N261" s="128"/>
      <c r="O261" s="133"/>
      <c r="P261" s="131"/>
      <c r="Q261" s="133"/>
      <c r="R261" s="54"/>
      <c r="S261" s="134"/>
      <c r="T261" s="133"/>
      <c r="U261" s="149"/>
      <c r="V261" s="134"/>
      <c r="W261" s="136"/>
      <c r="X261" s="136"/>
      <c r="Y261" s="134"/>
      <c r="Z261" s="136"/>
      <c r="AA261" s="128"/>
      <c r="AB261" s="134"/>
      <c r="AC261" s="133"/>
      <c r="AD261" s="133"/>
      <c r="AE261" s="128"/>
      <c r="AF261" s="133"/>
    </row>
    <row r="262" spans="1:32" ht="12.75" customHeight="1" hidden="1">
      <c r="A262" s="133"/>
      <c r="B262" s="133"/>
      <c r="C262" s="132"/>
      <c r="D262" s="133"/>
      <c r="E262" s="133"/>
      <c r="F262" s="133"/>
      <c r="G262" s="134"/>
      <c r="H262" s="133"/>
      <c r="I262" s="133"/>
      <c r="J262" s="133"/>
      <c r="K262" s="135"/>
      <c r="L262" s="128"/>
      <c r="M262" s="133"/>
      <c r="N262" s="128"/>
      <c r="O262" s="133"/>
      <c r="P262" s="131"/>
      <c r="Q262" s="133"/>
      <c r="R262" s="54"/>
      <c r="S262" s="134"/>
      <c r="T262" s="133"/>
      <c r="U262" s="149"/>
      <c r="V262" s="134"/>
      <c r="W262" s="136"/>
      <c r="X262" s="136"/>
      <c r="Y262" s="134"/>
      <c r="Z262" s="136"/>
      <c r="AA262" s="128"/>
      <c r="AB262" s="134"/>
      <c r="AC262" s="133"/>
      <c r="AD262" s="133"/>
      <c r="AE262" s="128"/>
      <c r="AF262" s="133"/>
    </row>
    <row r="263" spans="1:32" ht="12.75" customHeight="1" hidden="1">
      <c r="A263" s="133"/>
      <c r="B263" s="133"/>
      <c r="C263" s="132"/>
      <c r="D263" s="133"/>
      <c r="E263" s="133"/>
      <c r="F263" s="133"/>
      <c r="G263" s="134"/>
      <c r="H263" s="133"/>
      <c r="I263" s="133"/>
      <c r="J263" s="133"/>
      <c r="K263" s="135"/>
      <c r="L263" s="128"/>
      <c r="M263" s="133"/>
      <c r="N263" s="128"/>
      <c r="O263" s="133"/>
      <c r="P263" s="131"/>
      <c r="Q263" s="133"/>
      <c r="R263" s="54"/>
      <c r="S263" s="134"/>
      <c r="T263" s="133"/>
      <c r="U263" s="149"/>
      <c r="V263" s="134"/>
      <c r="W263" s="136"/>
      <c r="X263" s="136"/>
      <c r="Y263" s="134"/>
      <c r="Z263" s="136"/>
      <c r="AA263" s="128"/>
      <c r="AB263" s="134"/>
      <c r="AC263" s="133"/>
      <c r="AD263" s="133"/>
      <c r="AE263" s="128"/>
      <c r="AF263" s="133"/>
    </row>
    <row r="264" spans="1:32" ht="12.75" customHeight="1" hidden="1">
      <c r="A264" s="133"/>
      <c r="B264" s="133"/>
      <c r="C264" s="132"/>
      <c r="D264" s="133"/>
      <c r="E264" s="133"/>
      <c r="F264" s="133"/>
      <c r="G264" s="134"/>
      <c r="H264" s="133"/>
      <c r="I264" s="133"/>
      <c r="J264" s="133"/>
      <c r="K264" s="135"/>
      <c r="L264" s="128"/>
      <c r="M264" s="133"/>
      <c r="N264" s="128"/>
      <c r="O264" s="133"/>
      <c r="P264" s="131"/>
      <c r="Q264" s="133"/>
      <c r="R264" s="54"/>
      <c r="S264" s="134"/>
      <c r="T264" s="133"/>
      <c r="U264" s="149"/>
      <c r="V264" s="134"/>
      <c r="W264" s="136"/>
      <c r="X264" s="136"/>
      <c r="Y264" s="134"/>
      <c r="Z264" s="136"/>
      <c r="AA264" s="128"/>
      <c r="AB264" s="134"/>
      <c r="AC264" s="133"/>
      <c r="AD264" s="133"/>
      <c r="AE264" s="128"/>
      <c r="AF264" s="133"/>
    </row>
    <row r="265" spans="1:32" ht="12.75" customHeight="1" hidden="1">
      <c r="A265" s="133"/>
      <c r="B265" s="133"/>
      <c r="C265" s="132"/>
      <c r="D265" s="133"/>
      <c r="E265" s="133"/>
      <c r="F265" s="133"/>
      <c r="G265" s="134"/>
      <c r="H265" s="133"/>
      <c r="I265" s="133"/>
      <c r="J265" s="133"/>
      <c r="K265" s="135"/>
      <c r="L265" s="128"/>
      <c r="M265" s="133"/>
      <c r="N265" s="128"/>
      <c r="O265" s="133"/>
      <c r="P265" s="131"/>
      <c r="Q265" s="133"/>
      <c r="R265" s="54"/>
      <c r="S265" s="134"/>
      <c r="T265" s="133"/>
      <c r="U265" s="149"/>
      <c r="V265" s="134"/>
      <c r="W265" s="136"/>
      <c r="X265" s="136"/>
      <c r="Y265" s="134"/>
      <c r="Z265" s="136"/>
      <c r="AA265" s="128"/>
      <c r="AB265" s="134"/>
      <c r="AC265" s="133"/>
      <c r="AD265" s="133"/>
      <c r="AE265" s="128"/>
      <c r="AF265" s="133"/>
    </row>
    <row r="266" spans="1:32" ht="12.75" customHeight="1" hidden="1">
      <c r="A266" s="133"/>
      <c r="B266" s="133"/>
      <c r="C266" s="132"/>
      <c r="D266" s="133"/>
      <c r="E266" s="133"/>
      <c r="F266" s="133"/>
      <c r="G266" s="134"/>
      <c r="H266" s="133"/>
      <c r="I266" s="133"/>
      <c r="J266" s="133"/>
      <c r="K266" s="135"/>
      <c r="L266" s="128"/>
      <c r="M266" s="133"/>
      <c r="N266" s="128"/>
      <c r="O266" s="133"/>
      <c r="P266" s="131"/>
      <c r="Q266" s="133"/>
      <c r="R266" s="54"/>
      <c r="S266" s="134"/>
      <c r="T266" s="133"/>
      <c r="U266" s="149"/>
      <c r="V266" s="134"/>
      <c r="W266" s="136"/>
      <c r="X266" s="136"/>
      <c r="Y266" s="134"/>
      <c r="Z266" s="136"/>
      <c r="AA266" s="128"/>
      <c r="AB266" s="134"/>
      <c r="AC266" s="133"/>
      <c r="AD266" s="133"/>
      <c r="AE266" s="128"/>
      <c r="AF266" s="133"/>
    </row>
    <row r="267" spans="1:32" ht="12.75" customHeight="1" hidden="1">
      <c r="A267" s="133"/>
      <c r="B267" s="133"/>
      <c r="C267" s="132"/>
      <c r="D267" s="133"/>
      <c r="E267" s="133"/>
      <c r="F267" s="133"/>
      <c r="G267" s="134"/>
      <c r="H267" s="133"/>
      <c r="I267" s="133"/>
      <c r="J267" s="133"/>
      <c r="K267" s="135"/>
      <c r="L267" s="128"/>
      <c r="M267" s="133"/>
      <c r="N267" s="128"/>
      <c r="O267" s="133"/>
      <c r="P267" s="131"/>
      <c r="Q267" s="133"/>
      <c r="R267" s="54"/>
      <c r="S267" s="134"/>
      <c r="T267" s="133"/>
      <c r="U267" s="149"/>
      <c r="V267" s="134"/>
      <c r="W267" s="136"/>
      <c r="X267" s="136"/>
      <c r="Y267" s="134"/>
      <c r="Z267" s="136"/>
      <c r="AA267" s="128"/>
      <c r="AB267" s="134"/>
      <c r="AC267" s="133"/>
      <c r="AD267" s="133"/>
      <c r="AE267" s="128"/>
      <c r="AF267" s="133"/>
    </row>
    <row r="268" spans="1:32" ht="12.75" customHeight="1" hidden="1">
      <c r="A268" s="133"/>
      <c r="B268" s="133"/>
      <c r="C268" s="132"/>
      <c r="D268" s="133"/>
      <c r="E268" s="133"/>
      <c r="F268" s="133"/>
      <c r="G268" s="134"/>
      <c r="H268" s="133"/>
      <c r="I268" s="133"/>
      <c r="J268" s="133"/>
      <c r="K268" s="135"/>
      <c r="L268" s="128"/>
      <c r="M268" s="133"/>
      <c r="N268" s="128"/>
      <c r="O268" s="133"/>
      <c r="P268" s="131"/>
      <c r="Q268" s="133"/>
      <c r="R268" s="54"/>
      <c r="S268" s="134"/>
      <c r="T268" s="133"/>
      <c r="U268" s="149"/>
      <c r="V268" s="134"/>
      <c r="W268" s="136"/>
      <c r="X268" s="136"/>
      <c r="Y268" s="134"/>
      <c r="Z268" s="136"/>
      <c r="AA268" s="128"/>
      <c r="AB268" s="134"/>
      <c r="AC268" s="133"/>
      <c r="AD268" s="133"/>
      <c r="AE268" s="128"/>
      <c r="AF268" s="133"/>
    </row>
    <row r="269" spans="1:32" ht="12.75" customHeight="1" hidden="1">
      <c r="A269" s="133"/>
      <c r="B269" s="133"/>
      <c r="C269" s="132"/>
      <c r="D269" s="133"/>
      <c r="E269" s="133"/>
      <c r="F269" s="133"/>
      <c r="G269" s="134"/>
      <c r="H269" s="133"/>
      <c r="I269" s="133"/>
      <c r="J269" s="133"/>
      <c r="K269" s="135"/>
      <c r="L269" s="128"/>
      <c r="M269" s="133"/>
      <c r="N269" s="128"/>
      <c r="O269" s="133"/>
      <c r="P269" s="131"/>
      <c r="Q269" s="133"/>
      <c r="R269" s="54"/>
      <c r="S269" s="134"/>
      <c r="T269" s="133"/>
      <c r="U269" s="149"/>
      <c r="V269" s="134"/>
      <c r="W269" s="136"/>
      <c r="X269" s="136"/>
      <c r="Y269" s="134"/>
      <c r="Z269" s="136"/>
      <c r="AA269" s="128"/>
      <c r="AB269" s="134"/>
      <c r="AC269" s="133"/>
      <c r="AD269" s="133"/>
      <c r="AE269" s="128"/>
      <c r="AF269" s="133"/>
    </row>
    <row r="270" spans="1:32" ht="12.75" customHeight="1" hidden="1">
      <c r="A270" s="133"/>
      <c r="B270" s="133"/>
      <c r="C270" s="132"/>
      <c r="D270" s="133"/>
      <c r="E270" s="133"/>
      <c r="F270" s="133"/>
      <c r="G270" s="134"/>
      <c r="H270" s="133"/>
      <c r="I270" s="133"/>
      <c r="J270" s="133"/>
      <c r="K270" s="135"/>
      <c r="L270" s="128"/>
      <c r="M270" s="133"/>
      <c r="N270" s="128"/>
      <c r="O270" s="133"/>
      <c r="P270" s="131"/>
      <c r="Q270" s="133"/>
      <c r="R270" s="54"/>
      <c r="S270" s="134"/>
      <c r="T270" s="133"/>
      <c r="U270" s="149"/>
      <c r="V270" s="134"/>
      <c r="W270" s="136"/>
      <c r="X270" s="136"/>
      <c r="Y270" s="134"/>
      <c r="Z270" s="136"/>
      <c r="AA270" s="128"/>
      <c r="AB270" s="134"/>
      <c r="AC270" s="133"/>
      <c r="AD270" s="133"/>
      <c r="AE270" s="128"/>
      <c r="AF270" s="133"/>
    </row>
    <row r="271" spans="1:32" ht="12.75" customHeight="1" hidden="1">
      <c r="A271" s="133"/>
      <c r="B271" s="133"/>
      <c r="C271" s="132"/>
      <c r="D271" s="133"/>
      <c r="E271" s="133"/>
      <c r="F271" s="133"/>
      <c r="G271" s="134"/>
      <c r="H271" s="133"/>
      <c r="I271" s="133"/>
      <c r="J271" s="133"/>
      <c r="K271" s="135"/>
      <c r="L271" s="128"/>
      <c r="M271" s="133"/>
      <c r="N271" s="128"/>
      <c r="O271" s="133"/>
      <c r="P271" s="131"/>
      <c r="Q271" s="133"/>
      <c r="R271" s="54"/>
      <c r="S271" s="134"/>
      <c r="T271" s="133"/>
      <c r="U271" s="149"/>
      <c r="V271" s="134"/>
      <c r="W271" s="136"/>
      <c r="X271" s="136"/>
      <c r="Y271" s="134"/>
      <c r="Z271" s="136"/>
      <c r="AA271" s="128"/>
      <c r="AB271" s="134"/>
      <c r="AC271" s="133"/>
      <c r="AD271" s="133"/>
      <c r="AE271" s="128"/>
      <c r="AF271" s="133"/>
    </row>
    <row r="272" spans="1:32" ht="12.75" customHeight="1" hidden="1">
      <c r="A272" s="133"/>
      <c r="B272" s="133"/>
      <c r="C272" s="132"/>
      <c r="D272" s="133"/>
      <c r="E272" s="133"/>
      <c r="F272" s="133"/>
      <c r="G272" s="134"/>
      <c r="H272" s="133"/>
      <c r="I272" s="133"/>
      <c r="J272" s="133"/>
      <c r="K272" s="135"/>
      <c r="L272" s="128"/>
      <c r="M272" s="133"/>
      <c r="N272" s="128"/>
      <c r="O272" s="133"/>
      <c r="P272" s="131"/>
      <c r="Q272" s="133"/>
      <c r="R272" s="54"/>
      <c r="S272" s="134"/>
      <c r="T272" s="133"/>
      <c r="U272" s="149"/>
      <c r="V272" s="134"/>
      <c r="W272" s="136"/>
      <c r="X272" s="136"/>
      <c r="Y272" s="134"/>
      <c r="Z272" s="136"/>
      <c r="AA272" s="128"/>
      <c r="AB272" s="134"/>
      <c r="AC272" s="133"/>
      <c r="AD272" s="133"/>
      <c r="AE272" s="128"/>
      <c r="AF272" s="133"/>
    </row>
    <row r="273" spans="1:32" ht="12.75" customHeight="1" hidden="1">
      <c r="A273" s="133"/>
      <c r="B273" s="133"/>
      <c r="C273" s="132"/>
      <c r="D273" s="133"/>
      <c r="E273" s="133"/>
      <c r="F273" s="133"/>
      <c r="G273" s="134"/>
      <c r="H273" s="133"/>
      <c r="I273" s="133"/>
      <c r="J273" s="133"/>
      <c r="K273" s="135"/>
      <c r="L273" s="128"/>
      <c r="M273" s="133"/>
      <c r="N273" s="128"/>
      <c r="O273" s="133"/>
      <c r="P273" s="131"/>
      <c r="Q273" s="133"/>
      <c r="R273" s="54"/>
      <c r="S273" s="134"/>
      <c r="T273" s="133"/>
      <c r="U273" s="149"/>
      <c r="V273" s="134"/>
      <c r="W273" s="136"/>
      <c r="X273" s="136"/>
      <c r="Y273" s="134"/>
      <c r="Z273" s="136"/>
      <c r="AA273" s="128"/>
      <c r="AB273" s="134"/>
      <c r="AC273" s="133"/>
      <c r="AD273" s="133"/>
      <c r="AE273" s="128"/>
      <c r="AF273" s="133"/>
    </row>
    <row r="274" spans="1:32" ht="12.75" customHeight="1" hidden="1">
      <c r="A274" s="133"/>
      <c r="B274" s="133"/>
      <c r="C274" s="132"/>
      <c r="D274" s="133"/>
      <c r="E274" s="133"/>
      <c r="F274" s="133"/>
      <c r="G274" s="134"/>
      <c r="H274" s="133"/>
      <c r="I274" s="133"/>
      <c r="J274" s="133"/>
      <c r="K274" s="135"/>
      <c r="L274" s="128"/>
      <c r="M274" s="133"/>
      <c r="N274" s="128"/>
      <c r="O274" s="133"/>
      <c r="P274" s="131"/>
      <c r="Q274" s="133"/>
      <c r="R274" s="54"/>
      <c r="S274" s="134"/>
      <c r="T274" s="133"/>
      <c r="U274" s="149"/>
      <c r="V274" s="134"/>
      <c r="W274" s="136"/>
      <c r="X274" s="136"/>
      <c r="Y274" s="134"/>
      <c r="Z274" s="136"/>
      <c r="AA274" s="128"/>
      <c r="AB274" s="134"/>
      <c r="AC274" s="133"/>
      <c r="AD274" s="133"/>
      <c r="AE274" s="128"/>
      <c r="AF274" s="133"/>
    </row>
    <row r="275" spans="1:32" ht="12.75" customHeight="1" hidden="1">
      <c r="A275" s="133"/>
      <c r="B275" s="133"/>
      <c r="C275" s="132"/>
      <c r="D275" s="133"/>
      <c r="E275" s="133"/>
      <c r="F275" s="133"/>
      <c r="G275" s="134"/>
      <c r="H275" s="133"/>
      <c r="I275" s="133"/>
      <c r="J275" s="133"/>
      <c r="K275" s="135"/>
      <c r="L275" s="128"/>
      <c r="M275" s="133"/>
      <c r="N275" s="128"/>
      <c r="O275" s="133"/>
      <c r="P275" s="131"/>
      <c r="Q275" s="133"/>
      <c r="R275" s="54"/>
      <c r="S275" s="134"/>
      <c r="T275" s="133"/>
      <c r="U275" s="149"/>
      <c r="V275" s="134"/>
      <c r="W275" s="136"/>
      <c r="X275" s="136"/>
      <c r="Y275" s="134"/>
      <c r="Z275" s="136"/>
      <c r="AA275" s="128"/>
      <c r="AB275" s="134"/>
      <c r="AC275" s="133"/>
      <c r="AD275" s="133"/>
      <c r="AE275" s="128"/>
      <c r="AF275" s="133"/>
    </row>
    <row r="276" spans="1:32" ht="12.75" customHeight="1" hidden="1">
      <c r="A276" s="133"/>
      <c r="B276" s="133"/>
      <c r="C276" s="132"/>
      <c r="D276" s="133"/>
      <c r="E276" s="133"/>
      <c r="F276" s="133"/>
      <c r="G276" s="134"/>
      <c r="H276" s="133"/>
      <c r="I276" s="133"/>
      <c r="J276" s="133"/>
      <c r="K276" s="135"/>
      <c r="L276" s="128"/>
      <c r="M276" s="133"/>
      <c r="N276" s="128"/>
      <c r="O276" s="133"/>
      <c r="P276" s="131"/>
      <c r="Q276" s="133"/>
      <c r="R276" s="54"/>
      <c r="S276" s="134"/>
      <c r="T276" s="133"/>
      <c r="U276" s="149"/>
      <c r="V276" s="134"/>
      <c r="W276" s="136"/>
      <c r="X276" s="136"/>
      <c r="Y276" s="134"/>
      <c r="Z276" s="136"/>
      <c r="AA276" s="128"/>
      <c r="AB276" s="134"/>
      <c r="AC276" s="133"/>
      <c r="AD276" s="133"/>
      <c r="AE276" s="128"/>
      <c r="AF276" s="133"/>
    </row>
    <row r="277" spans="1:32" ht="12.75" customHeight="1" hidden="1">
      <c r="A277" s="133"/>
      <c r="B277" s="133"/>
      <c r="C277" s="132"/>
      <c r="D277" s="133"/>
      <c r="E277" s="133"/>
      <c r="F277" s="133"/>
      <c r="G277" s="134"/>
      <c r="H277" s="133"/>
      <c r="I277" s="133"/>
      <c r="J277" s="133"/>
      <c r="K277" s="135"/>
      <c r="L277" s="128"/>
      <c r="M277" s="133"/>
      <c r="N277" s="128"/>
      <c r="O277" s="133"/>
      <c r="P277" s="131"/>
      <c r="Q277" s="133"/>
      <c r="R277" s="54"/>
      <c r="S277" s="134"/>
      <c r="T277" s="133"/>
      <c r="U277" s="149"/>
      <c r="V277" s="134"/>
      <c r="W277" s="136"/>
      <c r="X277" s="136"/>
      <c r="Y277" s="134"/>
      <c r="Z277" s="136"/>
      <c r="AA277" s="128"/>
      <c r="AB277" s="134"/>
      <c r="AC277" s="133"/>
      <c r="AD277" s="133"/>
      <c r="AE277" s="128"/>
      <c r="AF277" s="133"/>
    </row>
    <row r="278" spans="1:32" ht="12.75" customHeight="1" hidden="1">
      <c r="A278" s="133"/>
      <c r="B278" s="133"/>
      <c r="C278" s="132"/>
      <c r="D278" s="133"/>
      <c r="E278" s="133"/>
      <c r="F278" s="133"/>
      <c r="G278" s="134"/>
      <c r="H278" s="133"/>
      <c r="I278" s="133"/>
      <c r="J278" s="133"/>
      <c r="K278" s="135"/>
      <c r="L278" s="128"/>
      <c r="M278" s="133"/>
      <c r="N278" s="128"/>
      <c r="O278" s="133"/>
      <c r="P278" s="131"/>
      <c r="Q278" s="133"/>
      <c r="R278" s="54"/>
      <c r="S278" s="134"/>
      <c r="T278" s="133"/>
      <c r="U278" s="149"/>
      <c r="V278" s="134"/>
      <c r="W278" s="136"/>
      <c r="X278" s="136"/>
      <c r="Y278" s="134"/>
      <c r="Z278" s="136"/>
      <c r="AA278" s="128"/>
      <c r="AB278" s="134"/>
      <c r="AC278" s="133"/>
      <c r="AD278" s="133"/>
      <c r="AE278" s="128"/>
      <c r="AF278" s="133"/>
    </row>
    <row r="279" spans="1:32" ht="12.75" customHeight="1" hidden="1">
      <c r="A279" s="133"/>
      <c r="B279" s="133"/>
      <c r="C279" s="132"/>
      <c r="D279" s="133"/>
      <c r="E279" s="133"/>
      <c r="F279" s="133"/>
      <c r="G279" s="134"/>
      <c r="H279" s="133"/>
      <c r="I279" s="133"/>
      <c r="J279" s="133"/>
      <c r="K279" s="135"/>
      <c r="L279" s="128"/>
      <c r="M279" s="133"/>
      <c r="N279" s="128"/>
      <c r="O279" s="133"/>
      <c r="P279" s="131"/>
      <c r="Q279" s="133"/>
      <c r="R279" s="54"/>
      <c r="S279" s="134"/>
      <c r="T279" s="133"/>
      <c r="U279" s="149"/>
      <c r="V279" s="134"/>
      <c r="W279" s="136"/>
      <c r="X279" s="136"/>
      <c r="Y279" s="134"/>
      <c r="Z279" s="136"/>
      <c r="AA279" s="128"/>
      <c r="AB279" s="134"/>
      <c r="AC279" s="133"/>
      <c r="AD279" s="133"/>
      <c r="AE279" s="128"/>
      <c r="AF279" s="133"/>
    </row>
    <row r="280" spans="1:32" ht="12.75" customHeight="1" hidden="1">
      <c r="A280" s="133"/>
      <c r="B280" s="133"/>
      <c r="C280" s="132"/>
      <c r="D280" s="133"/>
      <c r="E280" s="133"/>
      <c r="F280" s="133"/>
      <c r="G280" s="134"/>
      <c r="H280" s="133"/>
      <c r="I280" s="133"/>
      <c r="J280" s="133"/>
      <c r="K280" s="135"/>
      <c r="L280" s="128"/>
      <c r="M280" s="133"/>
      <c r="N280" s="128"/>
      <c r="O280" s="133"/>
      <c r="P280" s="131"/>
      <c r="Q280" s="133"/>
      <c r="R280" s="54"/>
      <c r="S280" s="134"/>
      <c r="T280" s="133"/>
      <c r="U280" s="149"/>
      <c r="V280" s="134"/>
      <c r="W280" s="136"/>
      <c r="X280" s="136"/>
      <c r="Y280" s="134"/>
      <c r="Z280" s="136"/>
      <c r="AA280" s="128"/>
      <c r="AB280" s="134"/>
      <c r="AC280" s="133"/>
      <c r="AD280" s="133"/>
      <c r="AE280" s="128"/>
      <c r="AF280" s="133"/>
    </row>
    <row r="281" spans="1:32" ht="12.75" customHeight="1" hidden="1">
      <c r="A281" s="133"/>
      <c r="B281" s="133"/>
      <c r="C281" s="132"/>
      <c r="D281" s="133"/>
      <c r="E281" s="133"/>
      <c r="F281" s="133"/>
      <c r="G281" s="134"/>
      <c r="H281" s="133"/>
      <c r="I281" s="133"/>
      <c r="J281" s="133"/>
      <c r="K281" s="135"/>
      <c r="L281" s="128"/>
      <c r="M281" s="133"/>
      <c r="N281" s="128"/>
      <c r="O281" s="133"/>
      <c r="P281" s="131"/>
      <c r="Q281" s="133"/>
      <c r="R281" s="54"/>
      <c r="S281" s="134"/>
      <c r="T281" s="133"/>
      <c r="U281" s="149"/>
      <c r="V281" s="134"/>
      <c r="W281" s="136"/>
      <c r="X281" s="136"/>
      <c r="Y281" s="134"/>
      <c r="Z281" s="136"/>
      <c r="AA281" s="128"/>
      <c r="AB281" s="134"/>
      <c r="AC281" s="133"/>
      <c r="AD281" s="133"/>
      <c r="AE281" s="128"/>
      <c r="AF281" s="133"/>
    </row>
    <row r="282" spans="1:32" ht="12.75" customHeight="1" hidden="1">
      <c r="A282" s="133"/>
      <c r="B282" s="133"/>
      <c r="C282" s="132"/>
      <c r="D282" s="133"/>
      <c r="E282" s="133"/>
      <c r="F282" s="133"/>
      <c r="G282" s="134"/>
      <c r="H282" s="133"/>
      <c r="I282" s="133"/>
      <c r="J282" s="133"/>
      <c r="K282" s="135"/>
      <c r="L282" s="128"/>
      <c r="M282" s="133"/>
      <c r="N282" s="128"/>
      <c r="O282" s="133"/>
      <c r="P282" s="131"/>
      <c r="Q282" s="133"/>
      <c r="R282" s="54"/>
      <c r="S282" s="134"/>
      <c r="T282" s="133"/>
      <c r="U282" s="149"/>
      <c r="V282" s="134"/>
      <c r="W282" s="136"/>
      <c r="X282" s="136"/>
      <c r="Y282" s="134"/>
      <c r="Z282" s="136"/>
      <c r="AA282" s="128"/>
      <c r="AB282" s="134"/>
      <c r="AC282" s="133"/>
      <c r="AD282" s="133"/>
      <c r="AE282" s="128"/>
      <c r="AF282" s="133"/>
    </row>
    <row r="283" spans="1:32" ht="12.75" customHeight="1" hidden="1">
      <c r="A283" s="133"/>
      <c r="B283" s="133"/>
      <c r="C283" s="132"/>
      <c r="D283" s="133"/>
      <c r="E283" s="133"/>
      <c r="F283" s="133"/>
      <c r="G283" s="134"/>
      <c r="H283" s="133"/>
      <c r="I283" s="133"/>
      <c r="J283" s="133"/>
      <c r="K283" s="135"/>
      <c r="L283" s="128"/>
      <c r="M283" s="133"/>
      <c r="N283" s="128"/>
      <c r="O283" s="133"/>
      <c r="P283" s="131"/>
      <c r="Q283" s="133"/>
      <c r="R283" s="54"/>
      <c r="S283" s="134"/>
      <c r="T283" s="133"/>
      <c r="U283" s="149"/>
      <c r="V283" s="134"/>
      <c r="W283" s="136"/>
      <c r="X283" s="136"/>
      <c r="Y283" s="134"/>
      <c r="Z283" s="136"/>
      <c r="AA283" s="128"/>
      <c r="AB283" s="134"/>
      <c r="AC283" s="133"/>
      <c r="AD283" s="133"/>
      <c r="AE283" s="128"/>
      <c r="AF283" s="133"/>
    </row>
    <row r="284" spans="1:32" ht="12.75" customHeight="1" hidden="1">
      <c r="A284" s="133"/>
      <c r="B284" s="133"/>
      <c r="C284" s="132"/>
      <c r="D284" s="133"/>
      <c r="E284" s="133"/>
      <c r="F284" s="133"/>
      <c r="G284" s="134"/>
      <c r="H284" s="133"/>
      <c r="I284" s="133"/>
      <c r="J284" s="133"/>
      <c r="K284" s="135"/>
      <c r="L284" s="128"/>
      <c r="M284" s="133"/>
      <c r="N284" s="128"/>
      <c r="O284" s="133"/>
      <c r="P284" s="131"/>
      <c r="Q284" s="133"/>
      <c r="R284" s="54"/>
      <c r="S284" s="134"/>
      <c r="T284" s="133"/>
      <c r="U284" s="149"/>
      <c r="V284" s="134"/>
      <c r="W284" s="136"/>
      <c r="X284" s="136"/>
      <c r="Y284" s="134"/>
      <c r="Z284" s="136"/>
      <c r="AA284" s="128"/>
      <c r="AB284" s="134"/>
      <c r="AC284" s="133"/>
      <c r="AD284" s="133"/>
      <c r="AE284" s="128"/>
      <c r="AF284" s="133"/>
    </row>
    <row r="285" spans="1:32" ht="12.75" customHeight="1" hidden="1">
      <c r="A285" s="133"/>
      <c r="B285" s="133"/>
      <c r="C285" s="132"/>
      <c r="D285" s="133"/>
      <c r="E285" s="133"/>
      <c r="F285" s="133"/>
      <c r="G285" s="134"/>
      <c r="H285" s="133"/>
      <c r="I285" s="133"/>
      <c r="J285" s="133"/>
      <c r="K285" s="135"/>
      <c r="L285" s="128"/>
      <c r="M285" s="133"/>
      <c r="N285" s="128"/>
      <c r="O285" s="133"/>
      <c r="P285" s="131"/>
      <c r="Q285" s="133"/>
      <c r="R285" s="54"/>
      <c r="S285" s="134"/>
      <c r="T285" s="133"/>
      <c r="U285" s="149"/>
      <c r="V285" s="134"/>
      <c r="W285" s="136"/>
      <c r="X285" s="136"/>
      <c r="Y285" s="134"/>
      <c r="Z285" s="136"/>
      <c r="AA285" s="128"/>
      <c r="AB285" s="134"/>
      <c r="AC285" s="133"/>
      <c r="AD285" s="133"/>
      <c r="AE285" s="128"/>
      <c r="AF285" s="133"/>
    </row>
    <row r="286" spans="1:32" ht="12.75" customHeight="1" hidden="1">
      <c r="A286" s="133"/>
      <c r="B286" s="133"/>
      <c r="C286" s="132"/>
      <c r="D286" s="133"/>
      <c r="E286" s="133"/>
      <c r="F286" s="133"/>
      <c r="G286" s="134"/>
      <c r="H286" s="133"/>
      <c r="I286" s="133"/>
      <c r="J286" s="133"/>
      <c r="K286" s="135"/>
      <c r="L286" s="128"/>
      <c r="M286" s="133"/>
      <c r="N286" s="128"/>
      <c r="O286" s="133"/>
      <c r="P286" s="131"/>
      <c r="Q286" s="133"/>
      <c r="R286" s="54"/>
      <c r="S286" s="134"/>
      <c r="T286" s="133"/>
      <c r="U286" s="149"/>
      <c r="V286" s="134"/>
      <c r="W286" s="136"/>
      <c r="X286" s="136"/>
      <c r="Y286" s="134"/>
      <c r="Z286" s="136"/>
      <c r="AA286" s="128"/>
      <c r="AB286" s="134"/>
      <c r="AC286" s="133"/>
      <c r="AD286" s="133"/>
      <c r="AE286" s="128"/>
      <c r="AF286" s="133"/>
    </row>
    <row r="287" spans="1:32" ht="12.75" customHeight="1" hidden="1">
      <c r="A287" s="133"/>
      <c r="B287" s="133"/>
      <c r="C287" s="132"/>
      <c r="D287" s="133"/>
      <c r="E287" s="133"/>
      <c r="F287" s="133"/>
      <c r="G287" s="134"/>
      <c r="H287" s="133"/>
      <c r="I287" s="133"/>
      <c r="J287" s="133"/>
      <c r="K287" s="135"/>
      <c r="L287" s="128"/>
      <c r="M287" s="133"/>
      <c r="N287" s="128"/>
      <c r="O287" s="133"/>
      <c r="P287" s="131"/>
      <c r="Q287" s="133"/>
      <c r="R287" s="54"/>
      <c r="S287" s="134"/>
      <c r="T287" s="133"/>
      <c r="U287" s="149"/>
      <c r="V287" s="134"/>
      <c r="W287" s="136"/>
      <c r="X287" s="136"/>
      <c r="Y287" s="134"/>
      <c r="Z287" s="136"/>
      <c r="AA287" s="128"/>
      <c r="AB287" s="134"/>
      <c r="AC287" s="133"/>
      <c r="AD287" s="133"/>
      <c r="AE287" s="128"/>
      <c r="AF287" s="133"/>
    </row>
    <row r="288" spans="1:32" ht="12.75" customHeight="1" hidden="1">
      <c r="A288" s="133"/>
      <c r="B288" s="133"/>
      <c r="C288" s="132"/>
      <c r="D288" s="133"/>
      <c r="E288" s="133"/>
      <c r="F288" s="133"/>
      <c r="G288" s="134"/>
      <c r="H288" s="133"/>
      <c r="I288" s="133"/>
      <c r="J288" s="133"/>
      <c r="K288" s="135"/>
      <c r="L288" s="128"/>
      <c r="M288" s="133"/>
      <c r="N288" s="128"/>
      <c r="O288" s="133"/>
      <c r="P288" s="131"/>
      <c r="Q288" s="133"/>
      <c r="R288" s="54"/>
      <c r="S288" s="134"/>
      <c r="T288" s="133"/>
      <c r="U288" s="149"/>
      <c r="V288" s="134"/>
      <c r="W288" s="136"/>
      <c r="X288" s="136"/>
      <c r="Y288" s="134"/>
      <c r="Z288" s="136"/>
      <c r="AA288" s="128"/>
      <c r="AB288" s="134"/>
      <c r="AC288" s="133"/>
      <c r="AD288" s="133"/>
      <c r="AE288" s="128"/>
      <c r="AF288" s="133"/>
    </row>
    <row r="289" spans="1:32" ht="12.75" customHeight="1" hidden="1">
      <c r="A289" s="133"/>
      <c r="B289" s="133"/>
      <c r="C289" s="132"/>
      <c r="D289" s="133"/>
      <c r="E289" s="133"/>
      <c r="F289" s="133"/>
      <c r="G289" s="134"/>
      <c r="H289" s="133"/>
      <c r="I289" s="133"/>
      <c r="J289" s="133"/>
      <c r="K289" s="135"/>
      <c r="L289" s="128"/>
      <c r="M289" s="133"/>
      <c r="N289" s="128"/>
      <c r="O289" s="133"/>
      <c r="P289" s="131"/>
      <c r="Q289" s="133"/>
      <c r="R289" s="54"/>
      <c r="S289" s="134"/>
      <c r="T289" s="133"/>
      <c r="U289" s="149"/>
      <c r="V289" s="134"/>
      <c r="W289" s="136"/>
      <c r="X289" s="136"/>
      <c r="Y289" s="134"/>
      <c r="Z289" s="136"/>
      <c r="AA289" s="128"/>
      <c r="AB289" s="134"/>
      <c r="AC289" s="133"/>
      <c r="AD289" s="133"/>
      <c r="AE289" s="128"/>
      <c r="AF289" s="133"/>
    </row>
    <row r="290" spans="1:32" ht="12.75" customHeight="1" hidden="1">
      <c r="A290" s="133"/>
      <c r="B290" s="133"/>
      <c r="C290" s="132"/>
      <c r="D290" s="133"/>
      <c r="E290" s="133"/>
      <c r="F290" s="133"/>
      <c r="G290" s="134"/>
      <c r="H290" s="133"/>
      <c r="I290" s="133"/>
      <c r="J290" s="133"/>
      <c r="K290" s="135"/>
      <c r="L290" s="128"/>
      <c r="M290" s="133"/>
      <c r="N290" s="128"/>
      <c r="O290" s="133"/>
      <c r="P290" s="131"/>
      <c r="Q290" s="133"/>
      <c r="R290" s="54"/>
      <c r="S290" s="134"/>
      <c r="T290" s="133"/>
      <c r="U290" s="149"/>
      <c r="V290" s="134"/>
      <c r="W290" s="136"/>
      <c r="X290" s="136"/>
      <c r="Y290" s="134"/>
      <c r="Z290" s="136"/>
      <c r="AA290" s="128"/>
      <c r="AB290" s="134"/>
      <c r="AC290" s="133"/>
      <c r="AD290" s="133"/>
      <c r="AE290" s="128"/>
      <c r="AF290" s="133"/>
    </row>
    <row r="291" spans="1:32" ht="12.75" customHeight="1" hidden="1">
      <c r="A291" s="133"/>
      <c r="B291" s="133"/>
      <c r="C291" s="132"/>
      <c r="D291" s="133"/>
      <c r="E291" s="133"/>
      <c r="F291" s="133"/>
      <c r="G291" s="134"/>
      <c r="H291" s="133"/>
      <c r="I291" s="133"/>
      <c r="J291" s="133"/>
      <c r="K291" s="135"/>
      <c r="L291" s="128"/>
      <c r="M291" s="133"/>
      <c r="N291" s="128"/>
      <c r="O291" s="133"/>
      <c r="P291" s="131"/>
      <c r="Q291" s="133"/>
      <c r="R291" s="54"/>
      <c r="S291" s="134"/>
      <c r="T291" s="133"/>
      <c r="U291" s="149"/>
      <c r="V291" s="134"/>
      <c r="W291" s="136"/>
      <c r="X291" s="136"/>
      <c r="Y291" s="134"/>
      <c r="Z291" s="136"/>
      <c r="AA291" s="128"/>
      <c r="AB291" s="134"/>
      <c r="AC291" s="133"/>
      <c r="AD291" s="133"/>
      <c r="AE291" s="128"/>
      <c r="AF291" s="133"/>
    </row>
    <row r="292" spans="1:32" ht="12.75" customHeight="1" hidden="1">
      <c r="A292" s="133"/>
      <c r="B292" s="133"/>
      <c r="C292" s="132"/>
      <c r="D292" s="133"/>
      <c r="E292" s="133"/>
      <c r="F292" s="133"/>
      <c r="G292" s="134"/>
      <c r="H292" s="133"/>
      <c r="I292" s="133"/>
      <c r="J292" s="133"/>
      <c r="K292" s="135"/>
      <c r="L292" s="128"/>
      <c r="M292" s="133"/>
      <c r="N292" s="128"/>
      <c r="O292" s="133"/>
      <c r="P292" s="131"/>
      <c r="Q292" s="133"/>
      <c r="R292" s="54"/>
      <c r="S292" s="134"/>
      <c r="T292" s="133"/>
      <c r="U292" s="149"/>
      <c r="V292" s="134"/>
      <c r="W292" s="136"/>
      <c r="X292" s="136"/>
      <c r="Y292" s="134"/>
      <c r="Z292" s="136"/>
      <c r="AA292" s="128"/>
      <c r="AB292" s="134"/>
      <c r="AC292" s="133"/>
      <c r="AD292" s="133"/>
      <c r="AE292" s="128"/>
      <c r="AF292" s="133"/>
    </row>
    <row r="293" spans="1:32" ht="12.75" customHeight="1" hidden="1">
      <c r="A293" s="133"/>
      <c r="B293" s="133"/>
      <c r="C293" s="132"/>
      <c r="D293" s="133"/>
      <c r="E293" s="133"/>
      <c r="F293" s="133"/>
      <c r="G293" s="134"/>
      <c r="H293" s="133"/>
      <c r="I293" s="133"/>
      <c r="J293" s="133"/>
      <c r="K293" s="135"/>
      <c r="L293" s="128"/>
      <c r="M293" s="133"/>
      <c r="N293" s="128"/>
      <c r="O293" s="133"/>
      <c r="P293" s="131"/>
      <c r="Q293" s="133"/>
      <c r="R293" s="54"/>
      <c r="S293" s="134"/>
      <c r="T293" s="133"/>
      <c r="U293" s="149"/>
      <c r="V293" s="134"/>
      <c r="W293" s="136"/>
      <c r="X293" s="136"/>
      <c r="Y293" s="134"/>
      <c r="Z293" s="136"/>
      <c r="AA293" s="128"/>
      <c r="AB293" s="134"/>
      <c r="AC293" s="133"/>
      <c r="AD293" s="133"/>
      <c r="AE293" s="128"/>
      <c r="AF293" s="133"/>
    </row>
    <row r="294" spans="1:32" ht="12.75" customHeight="1" hidden="1">
      <c r="A294" s="133"/>
      <c r="B294" s="133"/>
      <c r="C294" s="132"/>
      <c r="D294" s="133"/>
      <c r="E294" s="133"/>
      <c r="F294" s="133"/>
      <c r="G294" s="134"/>
      <c r="H294" s="133"/>
      <c r="I294" s="133"/>
      <c r="J294" s="133"/>
      <c r="K294" s="135"/>
      <c r="L294" s="128"/>
      <c r="M294" s="133"/>
      <c r="N294" s="128"/>
      <c r="O294" s="133"/>
      <c r="P294" s="131"/>
      <c r="Q294" s="133"/>
      <c r="R294" s="54"/>
      <c r="S294" s="134"/>
      <c r="T294" s="133"/>
      <c r="U294" s="149"/>
      <c r="V294" s="134"/>
      <c r="W294" s="136"/>
      <c r="X294" s="136"/>
      <c r="Y294" s="134"/>
      <c r="Z294" s="136"/>
      <c r="AA294" s="128"/>
      <c r="AB294" s="134"/>
      <c r="AC294" s="133"/>
      <c r="AD294" s="133"/>
      <c r="AE294" s="128"/>
      <c r="AF294" s="133"/>
    </row>
    <row r="295" spans="1:32" ht="12.75" customHeight="1" hidden="1">
      <c r="A295" s="133"/>
      <c r="B295" s="133"/>
      <c r="C295" s="132"/>
      <c r="D295" s="133"/>
      <c r="E295" s="133"/>
      <c r="F295" s="133"/>
      <c r="G295" s="134"/>
      <c r="H295" s="133"/>
      <c r="I295" s="133"/>
      <c r="J295" s="133"/>
      <c r="K295" s="135"/>
      <c r="L295" s="128"/>
      <c r="M295" s="133"/>
      <c r="N295" s="128"/>
      <c r="O295" s="133"/>
      <c r="P295" s="131"/>
      <c r="Q295" s="133"/>
      <c r="R295" s="54"/>
      <c r="S295" s="134"/>
      <c r="T295" s="133"/>
      <c r="U295" s="149"/>
      <c r="V295" s="134"/>
      <c r="W295" s="136"/>
      <c r="X295" s="136"/>
      <c r="Y295" s="134"/>
      <c r="Z295" s="136"/>
      <c r="AA295" s="128"/>
      <c r="AB295" s="134"/>
      <c r="AC295" s="133"/>
      <c r="AD295" s="133"/>
      <c r="AE295" s="128"/>
      <c r="AF295" s="133"/>
    </row>
    <row r="296" spans="1:32" ht="12.75" customHeight="1" hidden="1">
      <c r="A296" s="133"/>
      <c r="B296" s="133"/>
      <c r="C296" s="132"/>
      <c r="D296" s="133"/>
      <c r="E296" s="133"/>
      <c r="F296" s="133"/>
      <c r="G296" s="134"/>
      <c r="H296" s="133"/>
      <c r="I296" s="133"/>
      <c r="J296" s="133"/>
      <c r="K296" s="135"/>
      <c r="L296" s="128"/>
      <c r="M296" s="133"/>
      <c r="N296" s="128"/>
      <c r="O296" s="133"/>
      <c r="P296" s="131"/>
      <c r="Q296" s="133"/>
      <c r="R296" s="54"/>
      <c r="S296" s="134"/>
      <c r="T296" s="133"/>
      <c r="U296" s="149"/>
      <c r="V296" s="134"/>
      <c r="W296" s="136"/>
      <c r="X296" s="136"/>
      <c r="Y296" s="134"/>
      <c r="Z296" s="136"/>
      <c r="AA296" s="128"/>
      <c r="AB296" s="134"/>
      <c r="AC296" s="133"/>
      <c r="AD296" s="133"/>
      <c r="AE296" s="128"/>
      <c r="AF296" s="133"/>
    </row>
    <row r="297" spans="1:32" ht="12.75" customHeight="1" hidden="1">
      <c r="A297" s="133"/>
      <c r="B297" s="133"/>
      <c r="C297" s="132"/>
      <c r="D297" s="133"/>
      <c r="E297" s="133"/>
      <c r="F297" s="133"/>
      <c r="G297" s="134"/>
      <c r="H297" s="133"/>
      <c r="I297" s="133"/>
      <c r="J297" s="133"/>
      <c r="K297" s="135"/>
      <c r="L297" s="128"/>
      <c r="M297" s="133"/>
      <c r="N297" s="128"/>
      <c r="O297" s="133"/>
      <c r="P297" s="131"/>
      <c r="Q297" s="133"/>
      <c r="R297" s="54"/>
      <c r="S297" s="134"/>
      <c r="T297" s="133"/>
      <c r="U297" s="149"/>
      <c r="V297" s="134"/>
      <c r="W297" s="136"/>
      <c r="X297" s="136"/>
      <c r="Y297" s="134"/>
      <c r="Z297" s="136"/>
      <c r="AA297" s="128"/>
      <c r="AB297" s="134"/>
      <c r="AC297" s="133"/>
      <c r="AD297" s="133"/>
      <c r="AE297" s="128"/>
      <c r="AF297" s="133"/>
    </row>
    <row r="298" spans="1:32" ht="12.75" customHeight="1" hidden="1">
      <c r="A298" s="133"/>
      <c r="B298" s="133"/>
      <c r="C298" s="132"/>
      <c r="D298" s="133"/>
      <c r="E298" s="133"/>
      <c r="F298" s="133"/>
      <c r="G298" s="134"/>
      <c r="H298" s="133"/>
      <c r="I298" s="133"/>
      <c r="J298" s="133"/>
      <c r="K298" s="135"/>
      <c r="L298" s="128"/>
      <c r="M298" s="133"/>
      <c r="N298" s="128"/>
      <c r="O298" s="133"/>
      <c r="P298" s="131"/>
      <c r="Q298" s="133"/>
      <c r="R298" s="54"/>
      <c r="S298" s="134"/>
      <c r="T298" s="133"/>
      <c r="U298" s="149"/>
      <c r="V298" s="134"/>
      <c r="W298" s="136"/>
      <c r="X298" s="136"/>
      <c r="Y298" s="134"/>
      <c r="Z298" s="136"/>
      <c r="AA298" s="128"/>
      <c r="AB298" s="134"/>
      <c r="AC298" s="133"/>
      <c r="AD298" s="133"/>
      <c r="AE298" s="128"/>
      <c r="AF298" s="133"/>
    </row>
    <row r="299" spans="1:32" ht="12.75" customHeight="1" hidden="1">
      <c r="A299" s="133"/>
      <c r="B299" s="133"/>
      <c r="C299" s="132"/>
      <c r="D299" s="133"/>
      <c r="E299" s="133"/>
      <c r="F299" s="133"/>
      <c r="G299" s="134"/>
      <c r="H299" s="133"/>
      <c r="I299" s="133"/>
      <c r="J299" s="133"/>
      <c r="K299" s="135"/>
      <c r="L299" s="128"/>
      <c r="M299" s="133"/>
      <c r="N299" s="128"/>
      <c r="O299" s="133"/>
      <c r="P299" s="131"/>
      <c r="Q299" s="133"/>
      <c r="R299" s="54"/>
      <c r="S299" s="134"/>
      <c r="T299" s="133"/>
      <c r="U299" s="149"/>
      <c r="V299" s="134"/>
      <c r="W299" s="136"/>
      <c r="X299" s="136"/>
      <c r="Y299" s="134"/>
      <c r="Z299" s="136"/>
      <c r="AA299" s="128"/>
      <c r="AB299" s="134"/>
      <c r="AC299" s="133"/>
      <c r="AD299" s="133"/>
      <c r="AE299" s="128"/>
      <c r="AF299" s="133"/>
    </row>
    <row r="300" spans="1:32" ht="12.75" customHeight="1" hidden="1">
      <c r="A300" s="133"/>
      <c r="B300" s="133"/>
      <c r="C300" s="132"/>
      <c r="D300" s="133"/>
      <c r="E300" s="133"/>
      <c r="F300" s="133"/>
      <c r="G300" s="134"/>
      <c r="H300" s="133"/>
      <c r="I300" s="133"/>
      <c r="J300" s="133"/>
      <c r="K300" s="135"/>
      <c r="L300" s="128"/>
      <c r="M300" s="133"/>
      <c r="N300" s="128"/>
      <c r="O300" s="133"/>
      <c r="P300" s="131"/>
      <c r="Q300" s="133"/>
      <c r="R300" s="54"/>
      <c r="S300" s="134"/>
      <c r="T300" s="133"/>
      <c r="U300" s="149"/>
      <c r="V300" s="134"/>
      <c r="W300" s="136"/>
      <c r="X300" s="136"/>
      <c r="Y300" s="134"/>
      <c r="Z300" s="136"/>
      <c r="AA300" s="128"/>
      <c r="AB300" s="134"/>
      <c r="AC300" s="133"/>
      <c r="AD300" s="133"/>
      <c r="AE300" s="128"/>
      <c r="AF300" s="133"/>
    </row>
    <row r="301" spans="1:32" ht="12.75" customHeight="1" hidden="1">
      <c r="A301" s="133"/>
      <c r="B301" s="133"/>
      <c r="C301" s="132"/>
      <c r="D301" s="133"/>
      <c r="E301" s="133"/>
      <c r="F301" s="133"/>
      <c r="G301" s="134"/>
      <c r="H301" s="133"/>
      <c r="I301" s="133"/>
      <c r="J301" s="133"/>
      <c r="K301" s="135"/>
      <c r="L301" s="128"/>
      <c r="M301" s="133"/>
      <c r="N301" s="128"/>
      <c r="O301" s="133"/>
      <c r="P301" s="131"/>
      <c r="Q301" s="133"/>
      <c r="R301" s="54"/>
      <c r="S301" s="134"/>
      <c r="T301" s="133"/>
      <c r="U301" s="149"/>
      <c r="V301" s="134"/>
      <c r="W301" s="136"/>
      <c r="X301" s="136"/>
      <c r="Y301" s="134"/>
      <c r="Z301" s="136"/>
      <c r="AA301" s="128"/>
      <c r="AB301" s="134"/>
      <c r="AC301" s="133"/>
      <c r="AD301" s="133"/>
      <c r="AE301" s="128"/>
      <c r="AF301" s="133"/>
    </row>
    <row r="302" spans="1:32" ht="12.75" customHeight="1" hidden="1">
      <c r="A302" s="133"/>
      <c r="B302" s="133"/>
      <c r="C302" s="132"/>
      <c r="D302" s="133"/>
      <c r="E302" s="133"/>
      <c r="F302" s="133"/>
      <c r="G302" s="134"/>
      <c r="H302" s="133"/>
      <c r="I302" s="133"/>
      <c r="J302" s="133"/>
      <c r="K302" s="135"/>
      <c r="L302" s="128"/>
      <c r="M302" s="133"/>
      <c r="N302" s="128"/>
      <c r="O302" s="133"/>
      <c r="P302" s="131"/>
      <c r="Q302" s="133"/>
      <c r="R302" s="54"/>
      <c r="S302" s="134"/>
      <c r="T302" s="133"/>
      <c r="U302" s="149"/>
      <c r="V302" s="134"/>
      <c r="W302" s="136"/>
      <c r="X302" s="136"/>
      <c r="Y302" s="134"/>
      <c r="Z302" s="136"/>
      <c r="AA302" s="128"/>
      <c r="AB302" s="134"/>
      <c r="AC302" s="133"/>
      <c r="AD302" s="133"/>
      <c r="AE302" s="128"/>
      <c r="AF302" s="133"/>
    </row>
    <row r="303" spans="1:32" ht="12.75" customHeight="1" hidden="1">
      <c r="A303" s="133"/>
      <c r="B303" s="133"/>
      <c r="C303" s="132"/>
      <c r="D303" s="133"/>
      <c r="E303" s="133"/>
      <c r="F303" s="133"/>
      <c r="G303" s="134"/>
      <c r="H303" s="133"/>
      <c r="I303" s="133"/>
      <c r="J303" s="133"/>
      <c r="K303" s="135"/>
      <c r="L303" s="128"/>
      <c r="M303" s="133"/>
      <c r="N303" s="128"/>
      <c r="O303" s="133"/>
      <c r="P303" s="131"/>
      <c r="Q303" s="133"/>
      <c r="R303" s="54"/>
      <c r="S303" s="134"/>
      <c r="T303" s="133"/>
      <c r="U303" s="149"/>
      <c r="V303" s="134"/>
      <c r="W303" s="136"/>
      <c r="X303" s="136"/>
      <c r="Y303" s="134"/>
      <c r="Z303" s="136"/>
      <c r="AA303" s="128"/>
      <c r="AB303" s="134"/>
      <c r="AC303" s="133"/>
      <c r="AD303" s="133"/>
      <c r="AE303" s="128"/>
      <c r="AF303" s="133"/>
    </row>
    <row r="304" spans="1:32" ht="12.75" customHeight="1" hidden="1">
      <c r="A304" s="133"/>
      <c r="B304" s="133"/>
      <c r="C304" s="132"/>
      <c r="D304" s="133"/>
      <c r="E304" s="133"/>
      <c r="F304" s="133"/>
      <c r="G304" s="134"/>
      <c r="H304" s="133"/>
      <c r="I304" s="133"/>
      <c r="J304" s="133"/>
      <c r="K304" s="135"/>
      <c r="L304" s="128"/>
      <c r="M304" s="133"/>
      <c r="N304" s="128"/>
      <c r="O304" s="133"/>
      <c r="P304" s="131"/>
      <c r="Q304" s="133"/>
      <c r="R304" s="54"/>
      <c r="S304" s="134"/>
      <c r="T304" s="133"/>
      <c r="U304" s="149"/>
      <c r="V304" s="134"/>
      <c r="W304" s="136"/>
      <c r="X304" s="136"/>
      <c r="Y304" s="134"/>
      <c r="Z304" s="136"/>
      <c r="AA304" s="128"/>
      <c r="AB304" s="134"/>
      <c r="AC304" s="133"/>
      <c r="AD304" s="133"/>
      <c r="AE304" s="128"/>
      <c r="AF304" s="133"/>
    </row>
    <row r="305" spans="1:32" ht="12.75" customHeight="1" hidden="1">
      <c r="A305" s="133"/>
      <c r="B305" s="133"/>
      <c r="C305" s="132"/>
      <c r="D305" s="133"/>
      <c r="E305" s="133"/>
      <c r="F305" s="133"/>
      <c r="G305" s="134"/>
      <c r="H305" s="133"/>
      <c r="I305" s="133"/>
      <c r="J305" s="133"/>
      <c r="K305" s="135"/>
      <c r="L305" s="128"/>
      <c r="M305" s="133"/>
      <c r="N305" s="128"/>
      <c r="O305" s="133"/>
      <c r="P305" s="131"/>
      <c r="Q305" s="133"/>
      <c r="R305" s="54"/>
      <c r="S305" s="134"/>
      <c r="T305" s="133"/>
      <c r="U305" s="149"/>
      <c r="V305" s="134"/>
      <c r="W305" s="136"/>
      <c r="X305" s="136"/>
      <c r="Y305" s="134"/>
      <c r="Z305" s="136"/>
      <c r="AA305" s="128"/>
      <c r="AB305" s="134"/>
      <c r="AC305" s="133"/>
      <c r="AD305" s="133"/>
      <c r="AE305" s="128"/>
      <c r="AF305" s="133"/>
    </row>
    <row r="306" spans="1:32" ht="12.75" customHeight="1" hidden="1">
      <c r="A306" s="133"/>
      <c r="B306" s="133"/>
      <c r="C306" s="132"/>
      <c r="D306" s="133"/>
      <c r="E306" s="133"/>
      <c r="F306" s="133"/>
      <c r="G306" s="134"/>
      <c r="H306" s="133"/>
      <c r="I306" s="133"/>
      <c r="J306" s="133"/>
      <c r="K306" s="135"/>
      <c r="L306" s="128"/>
      <c r="M306" s="133"/>
      <c r="N306" s="128"/>
      <c r="O306" s="133"/>
      <c r="P306" s="131"/>
      <c r="Q306" s="133"/>
      <c r="R306" s="54"/>
      <c r="S306" s="134"/>
      <c r="T306" s="133"/>
      <c r="U306" s="149"/>
      <c r="V306" s="134"/>
      <c r="W306" s="136"/>
      <c r="X306" s="136"/>
      <c r="Y306" s="134"/>
      <c r="Z306" s="136"/>
      <c r="AA306" s="128"/>
      <c r="AB306" s="134"/>
      <c r="AC306" s="133"/>
      <c r="AD306" s="133"/>
      <c r="AE306" s="128"/>
      <c r="AF306" s="133"/>
    </row>
    <row r="307" spans="1:32" ht="12.75" customHeight="1" hidden="1">
      <c r="A307" s="133"/>
      <c r="B307" s="133"/>
      <c r="C307" s="132"/>
      <c r="D307" s="133"/>
      <c r="E307" s="133"/>
      <c r="F307" s="133"/>
      <c r="G307" s="134"/>
      <c r="H307" s="133"/>
      <c r="I307" s="133"/>
      <c r="J307" s="133"/>
      <c r="K307" s="135"/>
      <c r="L307" s="128"/>
      <c r="M307" s="133"/>
      <c r="N307" s="128"/>
      <c r="O307" s="133"/>
      <c r="P307" s="131"/>
      <c r="Q307" s="133"/>
      <c r="R307" s="54"/>
      <c r="S307" s="134"/>
      <c r="T307" s="133"/>
      <c r="U307" s="149"/>
      <c r="V307" s="134"/>
      <c r="W307" s="136"/>
      <c r="X307" s="136"/>
      <c r="Y307" s="134"/>
      <c r="Z307" s="136"/>
      <c r="AA307" s="128"/>
      <c r="AB307" s="134"/>
      <c r="AC307" s="133"/>
      <c r="AD307" s="133"/>
      <c r="AE307" s="128"/>
      <c r="AF307" s="133"/>
    </row>
    <row r="308" spans="1:32" ht="12.75" customHeight="1" hidden="1">
      <c r="A308" s="133"/>
      <c r="B308" s="133"/>
      <c r="C308" s="132"/>
      <c r="D308" s="133"/>
      <c r="E308" s="133"/>
      <c r="F308" s="133"/>
      <c r="G308" s="134"/>
      <c r="H308" s="133"/>
      <c r="I308" s="133"/>
      <c r="J308" s="133"/>
      <c r="K308" s="135"/>
      <c r="L308" s="128"/>
      <c r="M308" s="133"/>
      <c r="N308" s="128"/>
      <c r="O308" s="133"/>
      <c r="P308" s="131"/>
      <c r="Q308" s="133"/>
      <c r="R308" s="54"/>
      <c r="S308" s="134"/>
      <c r="T308" s="133"/>
      <c r="U308" s="149"/>
      <c r="V308" s="134"/>
      <c r="W308" s="136"/>
      <c r="X308" s="136"/>
      <c r="Y308" s="134"/>
      <c r="Z308" s="136"/>
      <c r="AA308" s="128"/>
      <c r="AB308" s="134"/>
      <c r="AC308" s="133"/>
      <c r="AD308" s="133"/>
      <c r="AE308" s="128"/>
      <c r="AF308" s="133"/>
    </row>
    <row r="309" spans="1:32" ht="12.75" customHeight="1" hidden="1">
      <c r="A309" s="133"/>
      <c r="B309" s="133"/>
      <c r="C309" s="132"/>
      <c r="D309" s="133"/>
      <c r="E309" s="133"/>
      <c r="F309" s="133"/>
      <c r="G309" s="134"/>
      <c r="H309" s="133"/>
      <c r="I309" s="133"/>
      <c r="J309" s="133"/>
      <c r="K309" s="135"/>
      <c r="L309" s="128"/>
      <c r="M309" s="133"/>
      <c r="N309" s="128"/>
      <c r="O309" s="133"/>
      <c r="P309" s="131"/>
      <c r="Q309" s="133"/>
      <c r="R309" s="54"/>
      <c r="S309" s="134"/>
      <c r="T309" s="133"/>
      <c r="U309" s="149"/>
      <c r="V309" s="134"/>
      <c r="W309" s="136"/>
      <c r="X309" s="136"/>
      <c r="Y309" s="134"/>
      <c r="Z309" s="136"/>
      <c r="AA309" s="128"/>
      <c r="AB309" s="134"/>
      <c r="AC309" s="133"/>
      <c r="AD309" s="133"/>
      <c r="AE309" s="128"/>
      <c r="AF309" s="133"/>
    </row>
    <row r="310" spans="1:32" ht="12.75" customHeight="1" hidden="1">
      <c r="A310" s="133"/>
      <c r="B310" s="133"/>
      <c r="C310" s="132"/>
      <c r="D310" s="133"/>
      <c r="E310" s="133"/>
      <c r="F310" s="133"/>
      <c r="G310" s="134"/>
      <c r="H310" s="133"/>
      <c r="I310" s="133"/>
      <c r="J310" s="133"/>
      <c r="K310" s="135"/>
      <c r="L310" s="128"/>
      <c r="M310" s="133"/>
      <c r="N310" s="128"/>
      <c r="O310" s="133"/>
      <c r="P310" s="131"/>
      <c r="Q310" s="133"/>
      <c r="R310" s="54"/>
      <c r="S310" s="134"/>
      <c r="T310" s="133"/>
      <c r="U310" s="149"/>
      <c r="V310" s="134"/>
      <c r="W310" s="136"/>
      <c r="X310" s="136"/>
      <c r="Y310" s="134"/>
      <c r="Z310" s="136"/>
      <c r="AA310" s="128"/>
      <c r="AB310" s="134"/>
      <c r="AC310" s="133"/>
      <c r="AD310" s="133"/>
      <c r="AE310" s="128"/>
      <c r="AF310" s="133"/>
    </row>
    <row r="311" spans="1:32" ht="12.75" customHeight="1" hidden="1">
      <c r="A311" s="133"/>
      <c r="B311" s="133"/>
      <c r="C311" s="132"/>
      <c r="D311" s="133"/>
      <c r="E311" s="133"/>
      <c r="F311" s="133"/>
      <c r="G311" s="134"/>
      <c r="H311" s="133"/>
      <c r="I311" s="133"/>
      <c r="J311" s="133"/>
      <c r="K311" s="135"/>
      <c r="L311" s="128"/>
      <c r="M311" s="133"/>
      <c r="N311" s="128"/>
      <c r="O311" s="133"/>
      <c r="P311" s="131"/>
      <c r="Q311" s="133"/>
      <c r="R311" s="54"/>
      <c r="S311" s="134"/>
      <c r="T311" s="133"/>
      <c r="U311" s="149"/>
      <c r="V311" s="134"/>
      <c r="W311" s="136"/>
      <c r="X311" s="136"/>
      <c r="Y311" s="134"/>
      <c r="Z311" s="136"/>
      <c r="AA311" s="128"/>
      <c r="AB311" s="134"/>
      <c r="AC311" s="133"/>
      <c r="AD311" s="133"/>
      <c r="AE311" s="128"/>
      <c r="AF311" s="133"/>
    </row>
    <row r="312" spans="1:32" ht="12.75" customHeight="1" hidden="1">
      <c r="A312" s="133"/>
      <c r="B312" s="133"/>
      <c r="C312" s="132"/>
      <c r="D312" s="133"/>
      <c r="E312" s="133"/>
      <c r="F312" s="133"/>
      <c r="G312" s="134"/>
      <c r="H312" s="133"/>
      <c r="I312" s="133"/>
      <c r="J312" s="133"/>
      <c r="K312" s="135"/>
      <c r="L312" s="128"/>
      <c r="M312" s="133"/>
      <c r="N312" s="128"/>
      <c r="O312" s="133"/>
      <c r="P312" s="131"/>
      <c r="Q312" s="133"/>
      <c r="R312" s="54"/>
      <c r="S312" s="134"/>
      <c r="T312" s="133"/>
      <c r="U312" s="149"/>
      <c r="V312" s="134"/>
      <c r="W312" s="136"/>
      <c r="X312" s="136"/>
      <c r="Y312" s="134"/>
      <c r="Z312" s="136"/>
      <c r="AA312" s="128"/>
      <c r="AB312" s="134"/>
      <c r="AC312" s="133"/>
      <c r="AD312" s="133"/>
      <c r="AE312" s="128"/>
      <c r="AF312" s="133"/>
    </row>
    <row r="313" spans="1:32" ht="12.75" customHeight="1" hidden="1">
      <c r="A313" s="133"/>
      <c r="B313" s="133"/>
      <c r="C313" s="132"/>
      <c r="D313" s="133"/>
      <c r="E313" s="133"/>
      <c r="F313" s="133"/>
      <c r="G313" s="134"/>
      <c r="H313" s="133"/>
      <c r="I313" s="133"/>
      <c r="J313" s="133"/>
      <c r="K313" s="135"/>
      <c r="L313" s="128"/>
      <c r="M313" s="133"/>
      <c r="N313" s="128"/>
      <c r="O313" s="133"/>
      <c r="P313" s="131"/>
      <c r="Q313" s="133"/>
      <c r="R313" s="54"/>
      <c r="S313" s="134"/>
      <c r="T313" s="133"/>
      <c r="U313" s="149"/>
      <c r="V313" s="134"/>
      <c r="W313" s="136"/>
      <c r="X313" s="136"/>
      <c r="Y313" s="134"/>
      <c r="Z313" s="136"/>
      <c r="AA313" s="128"/>
      <c r="AB313" s="134"/>
      <c r="AC313" s="133"/>
      <c r="AD313" s="133"/>
      <c r="AE313" s="128"/>
      <c r="AF313" s="133"/>
    </row>
    <row r="314" spans="1:32" ht="12.75" customHeight="1" hidden="1">
      <c r="A314" s="133"/>
      <c r="B314" s="133"/>
      <c r="C314" s="132"/>
      <c r="D314" s="133"/>
      <c r="E314" s="133"/>
      <c r="F314" s="133"/>
      <c r="G314" s="134"/>
      <c r="H314" s="133"/>
      <c r="I314" s="133"/>
      <c r="J314" s="133"/>
      <c r="K314" s="135"/>
      <c r="L314" s="128"/>
      <c r="M314" s="133"/>
      <c r="N314" s="128"/>
      <c r="O314" s="133"/>
      <c r="P314" s="131"/>
      <c r="Q314" s="133"/>
      <c r="R314" s="54"/>
      <c r="S314" s="134"/>
      <c r="T314" s="133"/>
      <c r="U314" s="149"/>
      <c r="V314" s="134"/>
      <c r="W314" s="136"/>
      <c r="X314" s="136"/>
      <c r="Y314" s="134"/>
      <c r="Z314" s="136"/>
      <c r="AA314" s="128"/>
      <c r="AB314" s="134"/>
      <c r="AC314" s="133"/>
      <c r="AD314" s="133"/>
      <c r="AE314" s="128"/>
      <c r="AF314" s="133"/>
    </row>
    <row r="315" spans="1:32" ht="12.75" customHeight="1" hidden="1">
      <c r="A315" s="133"/>
      <c r="B315" s="133"/>
      <c r="C315" s="132"/>
      <c r="D315" s="133"/>
      <c r="E315" s="133"/>
      <c r="F315" s="133"/>
      <c r="G315" s="134"/>
      <c r="H315" s="133"/>
      <c r="I315" s="133"/>
      <c r="J315" s="133"/>
      <c r="K315" s="135"/>
      <c r="L315" s="128"/>
      <c r="M315" s="133"/>
      <c r="N315" s="128"/>
      <c r="O315" s="133"/>
      <c r="P315" s="131"/>
      <c r="Q315" s="133"/>
      <c r="R315" s="54"/>
      <c r="S315" s="134"/>
      <c r="T315" s="133"/>
      <c r="U315" s="149"/>
      <c r="V315" s="134"/>
      <c r="W315" s="136"/>
      <c r="X315" s="136"/>
      <c r="Y315" s="134"/>
      <c r="Z315" s="136"/>
      <c r="AA315" s="128"/>
      <c r="AB315" s="134"/>
      <c r="AC315" s="133"/>
      <c r="AD315" s="133"/>
      <c r="AE315" s="128"/>
      <c r="AF315" s="133"/>
    </row>
    <row r="316" spans="1:32" ht="12.75" customHeight="1" hidden="1">
      <c r="A316" s="133"/>
      <c r="B316" s="133"/>
      <c r="C316" s="132"/>
      <c r="D316" s="133"/>
      <c r="E316" s="133"/>
      <c r="F316" s="133"/>
      <c r="G316" s="134"/>
      <c r="H316" s="133"/>
      <c r="I316" s="133"/>
      <c r="J316" s="133"/>
      <c r="K316" s="135"/>
      <c r="L316" s="128"/>
      <c r="M316" s="133"/>
      <c r="N316" s="128"/>
      <c r="O316" s="133"/>
      <c r="P316" s="131"/>
      <c r="Q316" s="133"/>
      <c r="R316" s="54"/>
      <c r="S316" s="134"/>
      <c r="T316" s="133"/>
      <c r="U316" s="149"/>
      <c r="V316" s="134"/>
      <c r="W316" s="136"/>
      <c r="X316" s="136"/>
      <c r="Y316" s="134"/>
      <c r="Z316" s="136"/>
      <c r="AA316" s="128"/>
      <c r="AB316" s="134"/>
      <c r="AC316" s="133"/>
      <c r="AD316" s="133"/>
      <c r="AE316" s="128"/>
      <c r="AF316" s="133"/>
    </row>
    <row r="317" spans="1:32" ht="12.75" customHeight="1" hidden="1">
      <c r="A317" s="133"/>
      <c r="B317" s="133"/>
      <c r="C317" s="132"/>
      <c r="D317" s="133"/>
      <c r="E317" s="133"/>
      <c r="F317" s="133"/>
      <c r="G317" s="134"/>
      <c r="H317" s="133"/>
      <c r="I317" s="133"/>
      <c r="J317" s="133"/>
      <c r="K317" s="135"/>
      <c r="L317" s="128"/>
      <c r="M317" s="133"/>
      <c r="N317" s="128"/>
      <c r="O317" s="133"/>
      <c r="P317" s="131"/>
      <c r="Q317" s="133"/>
      <c r="R317" s="54"/>
      <c r="S317" s="134"/>
      <c r="T317" s="133"/>
      <c r="U317" s="149"/>
      <c r="V317" s="134"/>
      <c r="W317" s="136"/>
      <c r="X317" s="136"/>
      <c r="Y317" s="134"/>
      <c r="Z317" s="136"/>
      <c r="AA317" s="128"/>
      <c r="AB317" s="134"/>
      <c r="AC317" s="133"/>
      <c r="AD317" s="133"/>
      <c r="AE317" s="128"/>
      <c r="AF317" s="133"/>
    </row>
    <row r="318" spans="1:32" ht="12.75" customHeight="1" hidden="1">
      <c r="A318" s="133"/>
      <c r="B318" s="133"/>
      <c r="C318" s="132"/>
      <c r="D318" s="133"/>
      <c r="E318" s="133"/>
      <c r="F318" s="133"/>
      <c r="G318" s="134"/>
      <c r="H318" s="133"/>
      <c r="I318" s="133"/>
      <c r="J318" s="133"/>
      <c r="K318" s="135"/>
      <c r="L318" s="128"/>
      <c r="M318" s="133"/>
      <c r="N318" s="128"/>
      <c r="O318" s="133"/>
      <c r="P318" s="131"/>
      <c r="Q318" s="133"/>
      <c r="R318" s="54"/>
      <c r="S318" s="134"/>
      <c r="T318" s="133"/>
      <c r="U318" s="149"/>
      <c r="V318" s="134"/>
      <c r="W318" s="136"/>
      <c r="X318" s="136"/>
      <c r="Y318" s="134"/>
      <c r="Z318" s="136"/>
      <c r="AA318" s="128"/>
      <c r="AB318" s="134"/>
      <c r="AC318" s="133"/>
      <c r="AD318" s="133"/>
      <c r="AE318" s="128"/>
      <c r="AF318" s="133"/>
    </row>
    <row r="319" spans="1:32" ht="12.75" customHeight="1" hidden="1">
      <c r="A319" s="133"/>
      <c r="B319" s="133"/>
      <c r="C319" s="132"/>
      <c r="D319" s="133"/>
      <c r="E319" s="133"/>
      <c r="F319" s="133"/>
      <c r="G319" s="134"/>
      <c r="H319" s="133"/>
      <c r="I319" s="133"/>
      <c r="J319" s="133"/>
      <c r="K319" s="135"/>
      <c r="L319" s="128"/>
      <c r="M319" s="133"/>
      <c r="N319" s="128"/>
      <c r="O319" s="133"/>
      <c r="P319" s="131"/>
      <c r="Q319" s="133"/>
      <c r="R319" s="54"/>
      <c r="S319" s="134"/>
      <c r="T319" s="133"/>
      <c r="U319" s="149"/>
      <c r="V319" s="134"/>
      <c r="W319" s="136"/>
      <c r="X319" s="136"/>
      <c r="Y319" s="134"/>
      <c r="Z319" s="136"/>
      <c r="AA319" s="128"/>
      <c r="AB319" s="134"/>
      <c r="AC319" s="133"/>
      <c r="AD319" s="133"/>
      <c r="AE319" s="128"/>
      <c r="AF319" s="133"/>
    </row>
    <row r="320" spans="1:32" ht="12.75" customHeight="1" hidden="1">
      <c r="A320" s="133"/>
      <c r="B320" s="133"/>
      <c r="C320" s="132"/>
      <c r="D320" s="133"/>
      <c r="E320" s="133"/>
      <c r="F320" s="133"/>
      <c r="G320" s="134"/>
      <c r="H320" s="133"/>
      <c r="I320" s="133"/>
      <c r="J320" s="133"/>
      <c r="K320" s="135"/>
      <c r="L320" s="128"/>
      <c r="M320" s="133"/>
      <c r="N320" s="128"/>
      <c r="O320" s="133"/>
      <c r="P320" s="131"/>
      <c r="Q320" s="133"/>
      <c r="R320" s="54"/>
      <c r="S320" s="134"/>
      <c r="T320" s="133"/>
      <c r="U320" s="149"/>
      <c r="V320" s="134"/>
      <c r="W320" s="136"/>
      <c r="X320" s="136"/>
      <c r="Y320" s="134"/>
      <c r="Z320" s="136"/>
      <c r="AA320" s="128"/>
      <c r="AB320" s="134"/>
      <c r="AC320" s="133"/>
      <c r="AD320" s="133"/>
      <c r="AE320" s="128"/>
      <c r="AF320" s="133"/>
    </row>
    <row r="321" spans="1:32" ht="12.75" customHeight="1" hidden="1">
      <c r="A321" s="133"/>
      <c r="B321" s="133"/>
      <c r="C321" s="132"/>
      <c r="D321" s="133"/>
      <c r="E321" s="133"/>
      <c r="F321" s="133"/>
      <c r="G321" s="134"/>
      <c r="H321" s="133"/>
      <c r="I321" s="133"/>
      <c r="J321" s="133"/>
      <c r="K321" s="135"/>
      <c r="L321" s="128"/>
      <c r="M321" s="133"/>
      <c r="N321" s="128"/>
      <c r="O321" s="133"/>
      <c r="P321" s="131"/>
      <c r="Q321" s="133"/>
      <c r="R321" s="54"/>
      <c r="S321" s="134"/>
      <c r="T321" s="133"/>
      <c r="U321" s="149"/>
      <c r="V321" s="134"/>
      <c r="W321" s="136"/>
      <c r="X321" s="136"/>
      <c r="Y321" s="134"/>
      <c r="Z321" s="136"/>
      <c r="AA321" s="128"/>
      <c r="AB321" s="134"/>
      <c r="AC321" s="133"/>
      <c r="AD321" s="133"/>
      <c r="AE321" s="128"/>
      <c r="AF321" s="133"/>
    </row>
    <row r="322" spans="1:32" ht="12.75" customHeight="1" hidden="1">
      <c r="A322" s="133"/>
      <c r="B322" s="133"/>
      <c r="C322" s="132"/>
      <c r="D322" s="133"/>
      <c r="E322" s="133"/>
      <c r="F322" s="133"/>
      <c r="G322" s="134"/>
      <c r="H322" s="133"/>
      <c r="I322" s="133"/>
      <c r="J322" s="133"/>
      <c r="K322" s="135"/>
      <c r="L322" s="128"/>
      <c r="M322" s="133"/>
      <c r="N322" s="128"/>
      <c r="O322" s="133"/>
      <c r="P322" s="131"/>
      <c r="Q322" s="133"/>
      <c r="R322" s="54"/>
      <c r="S322" s="134"/>
      <c r="T322" s="133"/>
      <c r="U322" s="149"/>
      <c r="V322" s="134"/>
      <c r="W322" s="136"/>
      <c r="X322" s="136"/>
      <c r="Y322" s="134"/>
      <c r="Z322" s="136"/>
      <c r="AA322" s="128"/>
      <c r="AB322" s="134"/>
      <c r="AC322" s="133"/>
      <c r="AD322" s="133"/>
      <c r="AE322" s="128"/>
      <c r="AF322" s="133"/>
    </row>
    <row r="323" spans="1:32" ht="12.75" customHeight="1" hidden="1">
      <c r="A323" s="133"/>
      <c r="B323" s="133"/>
      <c r="C323" s="132"/>
      <c r="D323" s="133"/>
      <c r="E323" s="133"/>
      <c r="F323" s="133"/>
      <c r="G323" s="134"/>
      <c r="H323" s="133"/>
      <c r="I323" s="133"/>
      <c r="J323" s="133"/>
      <c r="K323" s="135"/>
      <c r="L323" s="128"/>
      <c r="M323" s="133"/>
      <c r="N323" s="128"/>
      <c r="O323" s="133"/>
      <c r="P323" s="131"/>
      <c r="Q323" s="133"/>
      <c r="R323" s="54"/>
      <c r="S323" s="134"/>
      <c r="T323" s="133"/>
      <c r="U323" s="149"/>
      <c r="V323" s="134"/>
      <c r="W323" s="136"/>
      <c r="X323" s="136"/>
      <c r="Y323" s="134"/>
      <c r="Z323" s="136"/>
      <c r="AA323" s="128"/>
      <c r="AB323" s="134"/>
      <c r="AC323" s="133"/>
      <c r="AD323" s="133"/>
      <c r="AE323" s="128"/>
      <c r="AF323" s="133"/>
    </row>
    <row r="324" spans="1:32" ht="12.75" customHeight="1" hidden="1">
      <c r="A324" s="133"/>
      <c r="B324" s="133"/>
      <c r="C324" s="132"/>
      <c r="D324" s="133"/>
      <c r="E324" s="133"/>
      <c r="F324" s="133"/>
      <c r="G324" s="134"/>
      <c r="H324" s="133"/>
      <c r="I324" s="133"/>
      <c r="J324" s="133"/>
      <c r="K324" s="135"/>
      <c r="L324" s="128"/>
      <c r="M324" s="133"/>
      <c r="N324" s="128"/>
      <c r="O324" s="133"/>
      <c r="P324" s="131"/>
      <c r="Q324" s="133"/>
      <c r="R324" s="54"/>
      <c r="S324" s="134"/>
      <c r="T324" s="133"/>
      <c r="U324" s="149"/>
      <c r="V324" s="134"/>
      <c r="W324" s="136"/>
      <c r="X324" s="136"/>
      <c r="Y324" s="134"/>
      <c r="Z324" s="136"/>
      <c r="AA324" s="128"/>
      <c r="AB324" s="134"/>
      <c r="AC324" s="133"/>
      <c r="AD324" s="133"/>
      <c r="AE324" s="128"/>
      <c r="AF324" s="133"/>
    </row>
    <row r="325" spans="1:32" ht="12.75" customHeight="1" hidden="1">
      <c r="A325" s="133"/>
      <c r="B325" s="133"/>
      <c r="C325" s="132"/>
      <c r="D325" s="133"/>
      <c r="E325" s="133"/>
      <c r="F325" s="133"/>
      <c r="G325" s="134"/>
      <c r="H325" s="133"/>
      <c r="I325" s="133"/>
      <c r="J325" s="133"/>
      <c r="K325" s="135"/>
      <c r="L325" s="128"/>
      <c r="M325" s="133"/>
      <c r="N325" s="128"/>
      <c r="O325" s="133"/>
      <c r="P325" s="131"/>
      <c r="Q325" s="133"/>
      <c r="R325" s="54"/>
      <c r="S325" s="134"/>
      <c r="T325" s="133"/>
      <c r="U325" s="149"/>
      <c r="V325" s="134"/>
      <c r="W325" s="136"/>
      <c r="X325" s="136"/>
      <c r="Y325" s="134"/>
      <c r="Z325" s="136"/>
      <c r="AA325" s="128"/>
      <c r="AB325" s="134"/>
      <c r="AC325" s="133"/>
      <c r="AD325" s="133"/>
      <c r="AE325" s="128"/>
      <c r="AF325" s="133"/>
    </row>
    <row r="326" spans="1:32" ht="12.75" customHeight="1" hidden="1">
      <c r="A326" s="133"/>
      <c r="B326" s="133"/>
      <c r="C326" s="132"/>
      <c r="D326" s="133"/>
      <c r="E326" s="133"/>
      <c r="F326" s="133"/>
      <c r="G326" s="134"/>
      <c r="H326" s="133"/>
      <c r="I326" s="133"/>
      <c r="J326" s="133"/>
      <c r="K326" s="135"/>
      <c r="L326" s="128"/>
      <c r="M326" s="133"/>
      <c r="N326" s="128"/>
      <c r="O326" s="133"/>
      <c r="P326" s="131"/>
      <c r="Q326" s="133"/>
      <c r="R326" s="54"/>
      <c r="S326" s="134"/>
      <c r="T326" s="133"/>
      <c r="U326" s="149"/>
      <c r="V326" s="134"/>
      <c r="W326" s="136"/>
      <c r="X326" s="136"/>
      <c r="Y326" s="134"/>
      <c r="Z326" s="136"/>
      <c r="AA326" s="128"/>
      <c r="AB326" s="134"/>
      <c r="AC326" s="133"/>
      <c r="AD326" s="133"/>
      <c r="AE326" s="128"/>
      <c r="AF326" s="133"/>
    </row>
    <row r="327" spans="1:32" ht="12.75" customHeight="1" hidden="1">
      <c r="A327" s="133"/>
      <c r="B327" s="133"/>
      <c r="C327" s="132"/>
      <c r="D327" s="133"/>
      <c r="E327" s="133"/>
      <c r="F327" s="133"/>
      <c r="G327" s="134"/>
      <c r="H327" s="133"/>
      <c r="I327" s="133"/>
      <c r="J327" s="133"/>
      <c r="K327" s="135"/>
      <c r="L327" s="128"/>
      <c r="M327" s="133"/>
      <c r="N327" s="128"/>
      <c r="O327" s="133"/>
      <c r="P327" s="131"/>
      <c r="Q327" s="133"/>
      <c r="R327" s="54"/>
      <c r="S327" s="134"/>
      <c r="T327" s="133"/>
      <c r="U327" s="149"/>
      <c r="V327" s="134"/>
      <c r="W327" s="136"/>
      <c r="X327" s="136"/>
      <c r="Y327" s="134"/>
      <c r="Z327" s="136"/>
      <c r="AA327" s="128"/>
      <c r="AB327" s="134"/>
      <c r="AC327" s="133"/>
      <c r="AD327" s="133"/>
      <c r="AE327" s="128"/>
      <c r="AF327" s="133"/>
    </row>
    <row r="328" spans="1:32" ht="12.75" customHeight="1" hidden="1">
      <c r="A328" s="133"/>
      <c r="B328" s="133"/>
      <c r="C328" s="132"/>
      <c r="D328" s="133"/>
      <c r="E328" s="133"/>
      <c r="F328" s="133"/>
      <c r="G328" s="134"/>
      <c r="H328" s="133"/>
      <c r="I328" s="133"/>
      <c r="J328" s="133"/>
      <c r="K328" s="135"/>
      <c r="L328" s="128"/>
      <c r="M328" s="133"/>
      <c r="N328" s="128"/>
      <c r="O328" s="133"/>
      <c r="P328" s="131"/>
      <c r="Q328" s="133"/>
      <c r="R328" s="54"/>
      <c r="S328" s="134"/>
      <c r="T328" s="133"/>
      <c r="U328" s="149"/>
      <c r="V328" s="134"/>
      <c r="W328" s="136"/>
      <c r="X328" s="136"/>
      <c r="Y328" s="134"/>
      <c r="Z328" s="136"/>
      <c r="AA328" s="128"/>
      <c r="AB328" s="134"/>
      <c r="AC328" s="133"/>
      <c r="AD328" s="133"/>
      <c r="AE328" s="128"/>
      <c r="AF328" s="133"/>
    </row>
    <row r="329" spans="1:32" ht="12.75" customHeight="1" hidden="1">
      <c r="A329" s="133"/>
      <c r="B329" s="133"/>
      <c r="C329" s="132"/>
      <c r="D329" s="133"/>
      <c r="E329" s="133"/>
      <c r="F329" s="133"/>
      <c r="G329" s="134"/>
      <c r="H329" s="133"/>
      <c r="I329" s="133"/>
      <c r="J329" s="133"/>
      <c r="K329" s="135"/>
      <c r="L329" s="128"/>
      <c r="M329" s="133"/>
      <c r="N329" s="128"/>
      <c r="O329" s="133"/>
      <c r="P329" s="131"/>
      <c r="Q329" s="133"/>
      <c r="R329" s="54"/>
      <c r="S329" s="134"/>
      <c r="T329" s="133"/>
      <c r="U329" s="149"/>
      <c r="V329" s="134"/>
      <c r="W329" s="136"/>
      <c r="X329" s="136"/>
      <c r="Y329" s="134"/>
      <c r="Z329" s="136"/>
      <c r="AA329" s="128"/>
      <c r="AB329" s="134"/>
      <c r="AC329" s="133"/>
      <c r="AD329" s="133"/>
      <c r="AE329" s="128"/>
      <c r="AF329" s="133"/>
    </row>
    <row r="330" spans="1:32" ht="12.75" customHeight="1" hidden="1">
      <c r="A330" s="133"/>
      <c r="B330" s="133"/>
      <c r="C330" s="132"/>
      <c r="D330" s="133"/>
      <c r="E330" s="133"/>
      <c r="F330" s="133"/>
      <c r="G330" s="134"/>
      <c r="H330" s="133"/>
      <c r="I330" s="133"/>
      <c r="J330" s="133"/>
      <c r="K330" s="135"/>
      <c r="L330" s="128"/>
      <c r="M330" s="133"/>
      <c r="N330" s="128"/>
      <c r="O330" s="133"/>
      <c r="P330" s="131"/>
      <c r="Q330" s="133"/>
      <c r="R330" s="54"/>
      <c r="S330" s="134"/>
      <c r="T330" s="133"/>
      <c r="U330" s="149"/>
      <c r="V330" s="134"/>
      <c r="W330" s="136"/>
      <c r="X330" s="136"/>
      <c r="Y330" s="134"/>
      <c r="Z330" s="136"/>
      <c r="AA330" s="128"/>
      <c r="AB330" s="134"/>
      <c r="AC330" s="133"/>
      <c r="AD330" s="133"/>
      <c r="AE330" s="128"/>
      <c r="AF330" s="133"/>
    </row>
    <row r="331" spans="1:32" ht="12.75" customHeight="1" hidden="1">
      <c r="A331" s="133"/>
      <c r="B331" s="133"/>
      <c r="C331" s="132"/>
      <c r="D331" s="133"/>
      <c r="E331" s="133"/>
      <c r="F331" s="133"/>
      <c r="G331" s="134"/>
      <c r="H331" s="133"/>
      <c r="I331" s="133"/>
      <c r="J331" s="133"/>
      <c r="K331" s="135"/>
      <c r="L331" s="128"/>
      <c r="M331" s="133"/>
      <c r="N331" s="128"/>
      <c r="O331" s="133"/>
      <c r="P331" s="131"/>
      <c r="Q331" s="133"/>
      <c r="R331" s="54"/>
      <c r="S331" s="134"/>
      <c r="T331" s="133"/>
      <c r="U331" s="149"/>
      <c r="V331" s="134"/>
      <c r="W331" s="136"/>
      <c r="X331" s="136"/>
      <c r="Y331" s="134"/>
      <c r="Z331" s="136"/>
      <c r="AA331" s="128"/>
      <c r="AB331" s="134"/>
      <c r="AC331" s="133"/>
      <c r="AD331" s="133"/>
      <c r="AE331" s="128"/>
      <c r="AF331" s="133"/>
    </row>
    <row r="332" spans="1:32" ht="12.75" customHeight="1" hidden="1">
      <c r="A332" s="133"/>
      <c r="B332" s="133"/>
      <c r="C332" s="132"/>
      <c r="D332" s="133"/>
      <c r="E332" s="133"/>
      <c r="F332" s="133"/>
      <c r="G332" s="134"/>
      <c r="H332" s="133"/>
      <c r="I332" s="133"/>
      <c r="J332" s="133"/>
      <c r="K332" s="135"/>
      <c r="L332" s="128"/>
      <c r="M332" s="133"/>
      <c r="N332" s="128"/>
      <c r="O332" s="133"/>
      <c r="P332" s="131"/>
      <c r="Q332" s="133"/>
      <c r="R332" s="54"/>
      <c r="S332" s="134"/>
      <c r="T332" s="133"/>
      <c r="U332" s="149"/>
      <c r="V332" s="134"/>
      <c r="W332" s="136"/>
      <c r="X332" s="136"/>
      <c r="Y332" s="134"/>
      <c r="Z332" s="136"/>
      <c r="AA332" s="128"/>
      <c r="AB332" s="134"/>
      <c r="AC332" s="133"/>
      <c r="AD332" s="133"/>
      <c r="AE332" s="128"/>
      <c r="AF332" s="133"/>
    </row>
    <row r="333" spans="1:32" ht="12.75" customHeight="1" hidden="1">
      <c r="A333" s="133"/>
      <c r="B333" s="133"/>
      <c r="C333" s="132"/>
      <c r="D333" s="133"/>
      <c r="E333" s="133"/>
      <c r="F333" s="133"/>
      <c r="G333" s="134"/>
      <c r="H333" s="133"/>
      <c r="I333" s="133"/>
      <c r="J333" s="133"/>
      <c r="K333" s="135"/>
      <c r="L333" s="128"/>
      <c r="M333" s="133"/>
      <c r="N333" s="128"/>
      <c r="O333" s="133"/>
      <c r="P333" s="131"/>
      <c r="Q333" s="133"/>
      <c r="R333" s="54"/>
      <c r="S333" s="134"/>
      <c r="T333" s="133"/>
      <c r="U333" s="149"/>
      <c r="V333" s="134"/>
      <c r="W333" s="136"/>
      <c r="X333" s="136"/>
      <c r="Y333" s="134"/>
      <c r="Z333" s="136"/>
      <c r="AA333" s="128"/>
      <c r="AB333" s="134"/>
      <c r="AC333" s="133"/>
      <c r="AD333" s="133"/>
      <c r="AE333" s="128"/>
      <c r="AF333" s="133"/>
    </row>
    <row r="334" spans="1:32" ht="12.75" customHeight="1" hidden="1">
      <c r="A334" s="133"/>
      <c r="B334" s="133"/>
      <c r="C334" s="132"/>
      <c r="D334" s="133"/>
      <c r="E334" s="133"/>
      <c r="F334" s="133"/>
      <c r="G334" s="134"/>
      <c r="H334" s="133"/>
      <c r="I334" s="133"/>
      <c r="J334" s="133"/>
      <c r="K334" s="135"/>
      <c r="L334" s="128"/>
      <c r="M334" s="133"/>
      <c r="N334" s="128"/>
      <c r="O334" s="133"/>
      <c r="P334" s="131"/>
      <c r="Q334" s="133"/>
      <c r="R334" s="54"/>
      <c r="S334" s="134"/>
      <c r="T334" s="133"/>
      <c r="U334" s="149"/>
      <c r="V334" s="134"/>
      <c r="W334" s="136"/>
      <c r="X334" s="136"/>
      <c r="Y334" s="134"/>
      <c r="Z334" s="136"/>
      <c r="AA334" s="128"/>
      <c r="AB334" s="134"/>
      <c r="AC334" s="133"/>
      <c r="AD334" s="133"/>
      <c r="AE334" s="128"/>
      <c r="AF334" s="133"/>
    </row>
    <row r="335" spans="1:32" ht="12.75" customHeight="1" hidden="1">
      <c r="A335" s="133"/>
      <c r="B335" s="133"/>
      <c r="C335" s="132"/>
      <c r="D335" s="133"/>
      <c r="E335" s="133"/>
      <c r="F335" s="133"/>
      <c r="G335" s="134"/>
      <c r="H335" s="133"/>
      <c r="I335" s="133"/>
      <c r="J335" s="133"/>
      <c r="K335" s="135"/>
      <c r="L335" s="128"/>
      <c r="M335" s="133"/>
      <c r="N335" s="128"/>
      <c r="O335" s="133"/>
      <c r="P335" s="131"/>
      <c r="Q335" s="133"/>
      <c r="R335" s="54"/>
      <c r="S335" s="134"/>
      <c r="T335" s="133"/>
      <c r="U335" s="149"/>
      <c r="V335" s="134"/>
      <c r="W335" s="136"/>
      <c r="X335" s="136"/>
      <c r="Y335" s="134"/>
      <c r="Z335" s="136"/>
      <c r="AA335" s="128"/>
      <c r="AB335" s="134"/>
      <c r="AC335" s="133"/>
      <c r="AD335" s="133"/>
      <c r="AE335" s="128"/>
      <c r="AF335" s="133"/>
    </row>
    <row r="336" spans="1:32" ht="12.75" customHeight="1" hidden="1">
      <c r="A336" s="133"/>
      <c r="B336" s="133"/>
      <c r="C336" s="132"/>
      <c r="D336" s="133"/>
      <c r="E336" s="133"/>
      <c r="F336" s="133"/>
      <c r="G336" s="134"/>
      <c r="H336" s="133"/>
      <c r="I336" s="133"/>
      <c r="J336" s="133"/>
      <c r="K336" s="135"/>
      <c r="L336" s="128"/>
      <c r="M336" s="133"/>
      <c r="N336" s="128"/>
      <c r="O336" s="133"/>
      <c r="P336" s="131"/>
      <c r="Q336" s="133"/>
      <c r="R336" s="54"/>
      <c r="S336" s="134"/>
      <c r="T336" s="133"/>
      <c r="U336" s="149"/>
      <c r="V336" s="134"/>
      <c r="W336" s="136"/>
      <c r="X336" s="136"/>
      <c r="Y336" s="134"/>
      <c r="Z336" s="136"/>
      <c r="AA336" s="128"/>
      <c r="AB336" s="134"/>
      <c r="AC336" s="133"/>
      <c r="AD336" s="133"/>
      <c r="AE336" s="128"/>
      <c r="AF336" s="133"/>
    </row>
    <row r="337" spans="1:32" ht="12.75" customHeight="1" hidden="1">
      <c r="A337" s="133"/>
      <c r="B337" s="133"/>
      <c r="C337" s="132"/>
      <c r="D337" s="133"/>
      <c r="E337" s="133"/>
      <c r="F337" s="133"/>
      <c r="G337" s="134"/>
      <c r="H337" s="133"/>
      <c r="I337" s="133"/>
      <c r="J337" s="133"/>
      <c r="K337" s="135"/>
      <c r="L337" s="128"/>
      <c r="M337" s="133"/>
      <c r="N337" s="128"/>
      <c r="O337" s="133"/>
      <c r="P337" s="131"/>
      <c r="Q337" s="133"/>
      <c r="R337" s="54"/>
      <c r="S337" s="134"/>
      <c r="T337" s="133"/>
      <c r="U337" s="149"/>
      <c r="V337" s="134"/>
      <c r="W337" s="136"/>
      <c r="X337" s="136"/>
      <c r="Y337" s="134"/>
      <c r="Z337" s="136"/>
      <c r="AA337" s="128"/>
      <c r="AB337" s="134"/>
      <c r="AC337" s="133"/>
      <c r="AD337" s="133"/>
      <c r="AE337" s="128"/>
      <c r="AF337" s="133"/>
    </row>
    <row r="338" spans="1:32" ht="12.75" customHeight="1" hidden="1">
      <c r="A338" s="133"/>
      <c r="B338" s="133"/>
      <c r="C338" s="132"/>
      <c r="D338" s="133"/>
      <c r="E338" s="133"/>
      <c r="F338" s="133"/>
      <c r="G338" s="134"/>
      <c r="H338" s="133"/>
      <c r="I338" s="133"/>
      <c r="J338" s="133"/>
      <c r="K338" s="135"/>
      <c r="L338" s="128"/>
      <c r="M338" s="133"/>
      <c r="N338" s="128"/>
      <c r="O338" s="133"/>
      <c r="P338" s="131"/>
      <c r="Q338" s="133"/>
      <c r="R338" s="54"/>
      <c r="S338" s="134"/>
      <c r="T338" s="133"/>
      <c r="U338" s="149"/>
      <c r="V338" s="134"/>
      <c r="W338" s="136"/>
      <c r="X338" s="136"/>
      <c r="Y338" s="134"/>
      <c r="Z338" s="136"/>
      <c r="AA338" s="128"/>
      <c r="AB338" s="134"/>
      <c r="AC338" s="133"/>
      <c r="AD338" s="133"/>
      <c r="AE338" s="128"/>
      <c r="AF338" s="133"/>
    </row>
    <row r="339" spans="1:32" ht="12.75" customHeight="1" hidden="1">
      <c r="A339" s="133"/>
      <c r="B339" s="133"/>
      <c r="C339" s="132"/>
      <c r="D339" s="133"/>
      <c r="E339" s="133"/>
      <c r="F339" s="133"/>
      <c r="G339" s="134"/>
      <c r="H339" s="133"/>
      <c r="I339" s="133"/>
      <c r="J339" s="133"/>
      <c r="K339" s="135"/>
      <c r="L339" s="128"/>
      <c r="M339" s="133"/>
      <c r="N339" s="128"/>
      <c r="O339" s="133"/>
      <c r="P339" s="131"/>
      <c r="Q339" s="133"/>
      <c r="R339" s="54"/>
      <c r="S339" s="134"/>
      <c r="T339" s="133"/>
      <c r="U339" s="149"/>
      <c r="V339" s="134"/>
      <c r="W339" s="136"/>
      <c r="X339" s="136"/>
      <c r="Y339" s="134"/>
      <c r="Z339" s="136"/>
      <c r="AA339" s="128"/>
      <c r="AB339" s="134"/>
      <c r="AC339" s="133"/>
      <c r="AD339" s="133"/>
      <c r="AE339" s="128"/>
      <c r="AF339" s="133"/>
    </row>
    <row r="340" spans="1:32" ht="12.75" customHeight="1" hidden="1">
      <c r="A340" s="133"/>
      <c r="B340" s="133"/>
      <c r="C340" s="132"/>
      <c r="D340" s="133"/>
      <c r="E340" s="133"/>
      <c r="F340" s="133"/>
      <c r="G340" s="134"/>
      <c r="H340" s="133"/>
      <c r="I340" s="133"/>
      <c r="J340" s="133"/>
      <c r="K340" s="135"/>
      <c r="L340" s="128"/>
      <c r="M340" s="133"/>
      <c r="N340" s="128"/>
      <c r="O340" s="133"/>
      <c r="P340" s="131"/>
      <c r="Q340" s="133"/>
      <c r="R340" s="54"/>
      <c r="S340" s="134"/>
      <c r="T340" s="133"/>
      <c r="U340" s="149"/>
      <c r="V340" s="134"/>
      <c r="W340" s="136"/>
      <c r="X340" s="136"/>
      <c r="Y340" s="134"/>
      <c r="Z340" s="136"/>
      <c r="AA340" s="128"/>
      <c r="AB340" s="134"/>
      <c r="AC340" s="133"/>
      <c r="AD340" s="133"/>
      <c r="AE340" s="128"/>
      <c r="AF340" s="133"/>
    </row>
    <row r="341" spans="1:32" ht="12.75" customHeight="1" hidden="1">
      <c r="A341" s="133"/>
      <c r="B341" s="133"/>
      <c r="C341" s="132"/>
      <c r="D341" s="133"/>
      <c r="E341" s="133"/>
      <c r="F341" s="133"/>
      <c r="G341" s="134"/>
      <c r="H341" s="133"/>
      <c r="I341" s="133"/>
      <c r="J341" s="133"/>
      <c r="K341" s="135"/>
      <c r="L341" s="128"/>
      <c r="M341" s="133"/>
      <c r="N341" s="128"/>
      <c r="O341" s="133"/>
      <c r="P341" s="131"/>
      <c r="Q341" s="133"/>
      <c r="R341" s="54"/>
      <c r="S341" s="134"/>
      <c r="T341" s="133"/>
      <c r="U341" s="149"/>
      <c r="V341" s="134"/>
      <c r="W341" s="136"/>
      <c r="X341" s="136"/>
      <c r="Y341" s="134"/>
      <c r="Z341" s="136"/>
      <c r="AA341" s="128"/>
      <c r="AB341" s="134"/>
      <c r="AC341" s="133"/>
      <c r="AD341" s="133"/>
      <c r="AE341" s="128"/>
      <c r="AF341" s="133"/>
    </row>
    <row r="342" spans="1:32" ht="12.75" customHeight="1" hidden="1">
      <c r="A342" s="133"/>
      <c r="B342" s="133"/>
      <c r="C342" s="132"/>
      <c r="D342" s="133"/>
      <c r="E342" s="133"/>
      <c r="F342" s="133"/>
      <c r="G342" s="134"/>
      <c r="H342" s="133"/>
      <c r="I342" s="133"/>
      <c r="J342" s="133"/>
      <c r="K342" s="135"/>
      <c r="L342" s="128"/>
      <c r="M342" s="133"/>
      <c r="N342" s="128"/>
      <c r="O342" s="133"/>
      <c r="P342" s="131"/>
      <c r="Q342" s="133"/>
      <c r="R342" s="54"/>
      <c r="S342" s="134"/>
      <c r="T342" s="133"/>
      <c r="U342" s="149"/>
      <c r="V342" s="134"/>
      <c r="W342" s="136"/>
      <c r="X342" s="136"/>
      <c r="Y342" s="134"/>
      <c r="Z342" s="136"/>
      <c r="AA342" s="128"/>
      <c r="AB342" s="134"/>
      <c r="AC342" s="133"/>
      <c r="AD342" s="133"/>
      <c r="AE342" s="128"/>
      <c r="AF342" s="133"/>
    </row>
    <row r="343" spans="1:32" ht="12.75" customHeight="1" hidden="1">
      <c r="A343" s="133"/>
      <c r="B343" s="133"/>
      <c r="C343" s="132"/>
      <c r="D343" s="133"/>
      <c r="E343" s="133"/>
      <c r="F343" s="133"/>
      <c r="G343" s="134"/>
      <c r="H343" s="133"/>
      <c r="I343" s="133"/>
      <c r="J343" s="133"/>
      <c r="K343" s="135"/>
      <c r="L343" s="128"/>
      <c r="M343" s="133"/>
      <c r="N343" s="128"/>
      <c r="O343" s="133"/>
      <c r="P343" s="131"/>
      <c r="Q343" s="133"/>
      <c r="R343" s="54"/>
      <c r="S343" s="134"/>
      <c r="T343" s="133"/>
      <c r="U343" s="149"/>
      <c r="V343" s="134"/>
      <c r="W343" s="136"/>
      <c r="X343" s="136"/>
      <c r="Y343" s="134"/>
      <c r="Z343" s="136"/>
      <c r="AA343" s="128"/>
      <c r="AB343" s="134"/>
      <c r="AC343" s="133"/>
      <c r="AD343" s="133"/>
      <c r="AE343" s="128"/>
      <c r="AF343" s="133"/>
    </row>
    <row r="344" spans="1:32" ht="12.75" customHeight="1" hidden="1">
      <c r="A344" s="133"/>
      <c r="B344" s="133"/>
      <c r="C344" s="132"/>
      <c r="D344" s="133"/>
      <c r="E344" s="133"/>
      <c r="F344" s="133"/>
      <c r="G344" s="134"/>
      <c r="H344" s="133"/>
      <c r="I344" s="133"/>
      <c r="J344" s="133"/>
      <c r="K344" s="135"/>
      <c r="L344" s="128"/>
      <c r="M344" s="133"/>
      <c r="N344" s="128"/>
      <c r="O344" s="133"/>
      <c r="P344" s="131"/>
      <c r="Q344" s="133"/>
      <c r="R344" s="54"/>
      <c r="S344" s="134"/>
      <c r="T344" s="133"/>
      <c r="U344" s="149"/>
      <c r="V344" s="134"/>
      <c r="W344" s="136"/>
      <c r="X344" s="136"/>
      <c r="Y344" s="134"/>
      <c r="Z344" s="136"/>
      <c r="AA344" s="128"/>
      <c r="AB344" s="134"/>
      <c r="AC344" s="133"/>
      <c r="AD344" s="133"/>
      <c r="AE344" s="128"/>
      <c r="AF344" s="133"/>
    </row>
    <row r="345" spans="1:32" ht="12.75" customHeight="1" hidden="1">
      <c r="A345" s="133"/>
      <c r="B345" s="133"/>
      <c r="C345" s="132"/>
      <c r="D345" s="133"/>
      <c r="E345" s="133"/>
      <c r="F345" s="133"/>
      <c r="G345" s="134"/>
      <c r="H345" s="133"/>
      <c r="I345" s="133"/>
      <c r="J345" s="133"/>
      <c r="K345" s="135"/>
      <c r="L345" s="128"/>
      <c r="M345" s="133"/>
      <c r="N345" s="128"/>
      <c r="O345" s="133"/>
      <c r="P345" s="131"/>
      <c r="Q345" s="133"/>
      <c r="R345" s="54"/>
      <c r="S345" s="134"/>
      <c r="T345" s="133"/>
      <c r="U345" s="149"/>
      <c r="V345" s="134"/>
      <c r="W345" s="136"/>
      <c r="X345" s="136"/>
      <c r="Y345" s="134"/>
      <c r="Z345" s="136"/>
      <c r="AA345" s="128"/>
      <c r="AB345" s="134"/>
      <c r="AC345" s="133"/>
      <c r="AD345" s="133"/>
      <c r="AE345" s="128"/>
      <c r="AF345" s="133"/>
    </row>
    <row r="346" spans="1:32" ht="12.75" customHeight="1" hidden="1">
      <c r="A346" s="133"/>
      <c r="B346" s="133"/>
      <c r="C346" s="132"/>
      <c r="D346" s="133"/>
      <c r="E346" s="133"/>
      <c r="F346" s="133"/>
      <c r="G346" s="134"/>
      <c r="H346" s="133"/>
      <c r="I346" s="133"/>
      <c r="J346" s="133"/>
      <c r="K346" s="135"/>
      <c r="L346" s="128"/>
      <c r="M346" s="133"/>
      <c r="N346" s="128"/>
      <c r="O346" s="133"/>
      <c r="P346" s="131"/>
      <c r="Q346" s="133"/>
      <c r="R346" s="54"/>
      <c r="S346" s="134"/>
      <c r="T346" s="133"/>
      <c r="U346" s="149"/>
      <c r="V346" s="134"/>
      <c r="W346" s="136"/>
      <c r="X346" s="136"/>
      <c r="Y346" s="134"/>
      <c r="Z346" s="136"/>
      <c r="AA346" s="128"/>
      <c r="AB346" s="134"/>
      <c r="AC346" s="133"/>
      <c r="AD346" s="133"/>
      <c r="AE346" s="128"/>
      <c r="AF346" s="133"/>
    </row>
    <row r="347" spans="1:32" ht="12.75" customHeight="1" hidden="1">
      <c r="A347" s="133"/>
      <c r="B347" s="133"/>
      <c r="C347" s="132"/>
      <c r="D347" s="133"/>
      <c r="E347" s="133"/>
      <c r="F347" s="133"/>
      <c r="G347" s="134"/>
      <c r="H347" s="133"/>
      <c r="I347" s="133"/>
      <c r="J347" s="133"/>
      <c r="K347" s="135"/>
      <c r="L347" s="128"/>
      <c r="M347" s="133"/>
      <c r="N347" s="128"/>
      <c r="O347" s="133"/>
      <c r="P347" s="131"/>
      <c r="Q347" s="133"/>
      <c r="R347" s="54"/>
      <c r="S347" s="134"/>
      <c r="T347" s="133"/>
      <c r="U347" s="149"/>
      <c r="V347" s="134"/>
      <c r="W347" s="136"/>
      <c r="X347" s="136"/>
      <c r="Y347" s="134"/>
      <c r="Z347" s="136"/>
      <c r="AA347" s="128"/>
      <c r="AB347" s="134"/>
      <c r="AC347" s="133"/>
      <c r="AD347" s="133"/>
      <c r="AE347" s="128"/>
      <c r="AF347" s="133"/>
    </row>
    <row r="348" spans="1:32" ht="12.75" customHeight="1" hidden="1">
      <c r="A348" s="133"/>
      <c r="B348" s="133"/>
      <c r="C348" s="132"/>
      <c r="D348" s="133"/>
      <c r="E348" s="133"/>
      <c r="F348" s="133"/>
      <c r="G348" s="134"/>
      <c r="H348" s="133"/>
      <c r="I348" s="133"/>
      <c r="J348" s="133"/>
      <c r="K348" s="135"/>
      <c r="L348" s="128"/>
      <c r="M348" s="133"/>
      <c r="N348" s="128"/>
      <c r="O348" s="133"/>
      <c r="P348" s="131"/>
      <c r="Q348" s="133"/>
      <c r="R348" s="54"/>
      <c r="S348" s="134"/>
      <c r="T348" s="133"/>
      <c r="U348" s="149"/>
      <c r="V348" s="134"/>
      <c r="W348" s="136"/>
      <c r="X348" s="136"/>
      <c r="Y348" s="134"/>
      <c r="Z348" s="136"/>
      <c r="AA348" s="128"/>
      <c r="AB348" s="134"/>
      <c r="AC348" s="133"/>
      <c r="AD348" s="133"/>
      <c r="AE348" s="128"/>
      <c r="AF348" s="133"/>
    </row>
    <row r="349" spans="1:32" ht="12.75" customHeight="1" hidden="1">
      <c r="A349" s="133"/>
      <c r="B349" s="133"/>
      <c r="C349" s="132"/>
      <c r="D349" s="133"/>
      <c r="E349" s="133"/>
      <c r="F349" s="133"/>
      <c r="G349" s="134"/>
      <c r="H349" s="133"/>
      <c r="I349" s="133"/>
      <c r="J349" s="133"/>
      <c r="K349" s="135"/>
      <c r="L349" s="128"/>
      <c r="M349" s="133"/>
      <c r="N349" s="128"/>
      <c r="O349" s="133"/>
      <c r="P349" s="131"/>
      <c r="Q349" s="133"/>
      <c r="R349" s="54"/>
      <c r="S349" s="134"/>
      <c r="T349" s="133"/>
      <c r="U349" s="149"/>
      <c r="V349" s="134"/>
      <c r="W349" s="136"/>
      <c r="X349" s="136"/>
      <c r="Y349" s="134"/>
      <c r="Z349" s="136"/>
      <c r="AA349" s="128"/>
      <c r="AB349" s="134"/>
      <c r="AC349" s="133"/>
      <c r="AD349" s="133"/>
      <c r="AE349" s="128"/>
      <c r="AF349" s="133"/>
    </row>
    <row r="350" spans="1:32" ht="12.75" customHeight="1" hidden="1">
      <c r="A350" s="133"/>
      <c r="B350" s="133"/>
      <c r="C350" s="132"/>
      <c r="D350" s="133"/>
      <c r="E350" s="133"/>
      <c r="F350" s="133"/>
      <c r="G350" s="134"/>
      <c r="H350" s="133"/>
      <c r="I350" s="133"/>
      <c r="J350" s="133"/>
      <c r="K350" s="135"/>
      <c r="L350" s="128"/>
      <c r="M350" s="133"/>
      <c r="N350" s="128"/>
      <c r="O350" s="133"/>
      <c r="P350" s="131"/>
      <c r="Q350" s="133"/>
      <c r="R350" s="54"/>
      <c r="S350" s="134"/>
      <c r="T350" s="133"/>
      <c r="U350" s="149"/>
      <c r="V350" s="134"/>
      <c r="W350" s="136"/>
      <c r="X350" s="136"/>
      <c r="Y350" s="134"/>
      <c r="Z350" s="136"/>
      <c r="AA350" s="128"/>
      <c r="AB350" s="134"/>
      <c r="AC350" s="133"/>
      <c r="AD350" s="133"/>
      <c r="AE350" s="128"/>
      <c r="AF350" s="133"/>
    </row>
    <row r="351" spans="1:32" ht="12.75" customHeight="1" hidden="1">
      <c r="A351" s="133"/>
      <c r="B351" s="133"/>
      <c r="C351" s="132"/>
      <c r="D351" s="133"/>
      <c r="E351" s="133"/>
      <c r="F351" s="133"/>
      <c r="G351" s="134"/>
      <c r="H351" s="133"/>
      <c r="I351" s="133"/>
      <c r="J351" s="133"/>
      <c r="K351" s="135"/>
      <c r="L351" s="128"/>
      <c r="M351" s="133"/>
      <c r="N351" s="128"/>
      <c r="O351" s="133"/>
      <c r="P351" s="131"/>
      <c r="Q351" s="133"/>
      <c r="R351" s="54"/>
      <c r="S351" s="134"/>
      <c r="T351" s="133"/>
      <c r="U351" s="149"/>
      <c r="V351" s="134"/>
      <c r="W351" s="136"/>
      <c r="X351" s="136"/>
      <c r="Y351" s="134"/>
      <c r="Z351" s="136"/>
      <c r="AA351" s="128"/>
      <c r="AB351" s="134"/>
      <c r="AC351" s="133"/>
      <c r="AD351" s="133"/>
      <c r="AE351" s="128"/>
      <c r="AF351" s="133"/>
    </row>
    <row r="352" spans="1:32" ht="12.75" customHeight="1" hidden="1">
      <c r="A352" s="133"/>
      <c r="B352" s="133"/>
      <c r="C352" s="132"/>
      <c r="D352" s="133"/>
      <c r="E352" s="133"/>
      <c r="F352" s="133"/>
      <c r="G352" s="134"/>
      <c r="H352" s="133"/>
      <c r="I352" s="133"/>
      <c r="J352" s="133"/>
      <c r="K352" s="135"/>
      <c r="L352" s="128"/>
      <c r="M352" s="133"/>
      <c r="N352" s="128"/>
      <c r="O352" s="133"/>
      <c r="P352" s="131"/>
      <c r="Q352" s="133"/>
      <c r="R352" s="54"/>
      <c r="S352" s="134"/>
      <c r="T352" s="133"/>
      <c r="U352" s="149"/>
      <c r="V352" s="134"/>
      <c r="W352" s="136"/>
      <c r="X352" s="136"/>
      <c r="Y352" s="134"/>
      <c r="Z352" s="136"/>
      <c r="AA352" s="128"/>
      <c r="AB352" s="134"/>
      <c r="AC352" s="133"/>
      <c r="AD352" s="133"/>
      <c r="AE352" s="128"/>
      <c r="AF352" s="133"/>
    </row>
    <row r="353" spans="1:32" ht="12.75" customHeight="1" hidden="1">
      <c r="A353" s="133"/>
      <c r="B353" s="133"/>
      <c r="C353" s="132"/>
      <c r="D353" s="133"/>
      <c r="E353" s="133"/>
      <c r="F353" s="133"/>
      <c r="G353" s="134"/>
      <c r="H353" s="133"/>
      <c r="I353" s="133"/>
      <c r="J353" s="133"/>
      <c r="K353" s="135"/>
      <c r="L353" s="128"/>
      <c r="M353" s="133"/>
      <c r="N353" s="128"/>
      <c r="O353" s="133"/>
      <c r="P353" s="131"/>
      <c r="Q353" s="133"/>
      <c r="R353" s="54"/>
      <c r="S353" s="134"/>
      <c r="T353" s="133"/>
      <c r="U353" s="149"/>
      <c r="V353" s="134"/>
      <c r="W353" s="136"/>
      <c r="X353" s="136"/>
      <c r="Y353" s="134"/>
      <c r="Z353" s="136"/>
      <c r="AA353" s="128"/>
      <c r="AB353" s="134"/>
      <c r="AC353" s="133"/>
      <c r="AD353" s="133"/>
      <c r="AE353" s="128"/>
      <c r="AF353" s="133"/>
    </row>
    <row r="354" spans="1:32" ht="12.75" customHeight="1" hidden="1">
      <c r="A354" s="133"/>
      <c r="B354" s="133"/>
      <c r="C354" s="132"/>
      <c r="D354" s="133"/>
      <c r="E354" s="133"/>
      <c r="F354" s="133"/>
      <c r="G354" s="134"/>
      <c r="H354" s="133"/>
      <c r="I354" s="133"/>
      <c r="J354" s="133"/>
      <c r="K354" s="135"/>
      <c r="L354" s="128"/>
      <c r="M354" s="133"/>
      <c r="N354" s="128"/>
      <c r="O354" s="133"/>
      <c r="P354" s="131"/>
      <c r="Q354" s="133"/>
      <c r="R354" s="54"/>
      <c r="S354" s="134"/>
      <c r="T354" s="133"/>
      <c r="U354" s="149"/>
      <c r="V354" s="134"/>
      <c r="W354" s="136"/>
      <c r="X354" s="136"/>
      <c r="Y354" s="134"/>
      <c r="Z354" s="136"/>
      <c r="AA354" s="128"/>
      <c r="AB354" s="134"/>
      <c r="AC354" s="133"/>
      <c r="AD354" s="133"/>
      <c r="AE354" s="128"/>
      <c r="AF354" s="133"/>
    </row>
    <row r="355" spans="1:32" ht="12.75" customHeight="1" hidden="1">
      <c r="A355" s="133"/>
      <c r="B355" s="133"/>
      <c r="C355" s="132"/>
      <c r="D355" s="133"/>
      <c r="E355" s="133"/>
      <c r="F355" s="133"/>
      <c r="G355" s="134"/>
      <c r="H355" s="133"/>
      <c r="I355" s="133"/>
      <c r="J355" s="133"/>
      <c r="K355" s="135"/>
      <c r="L355" s="128"/>
      <c r="M355" s="133"/>
      <c r="N355" s="128"/>
      <c r="O355" s="133"/>
      <c r="P355" s="131"/>
      <c r="Q355" s="133"/>
      <c r="R355" s="54"/>
      <c r="S355" s="134"/>
      <c r="T355" s="133"/>
      <c r="U355" s="149"/>
      <c r="V355" s="134"/>
      <c r="W355" s="136"/>
      <c r="X355" s="136"/>
      <c r="Y355" s="134"/>
      <c r="Z355" s="136"/>
      <c r="AA355" s="128"/>
      <c r="AB355" s="134"/>
      <c r="AC355" s="133"/>
      <c r="AD355" s="133"/>
      <c r="AE355" s="128"/>
      <c r="AF355" s="133"/>
    </row>
    <row r="356" spans="1:32" ht="12.75" customHeight="1" hidden="1">
      <c r="A356" s="133"/>
      <c r="B356" s="133"/>
      <c r="C356" s="132"/>
      <c r="D356" s="133"/>
      <c r="E356" s="133"/>
      <c r="F356" s="133"/>
      <c r="G356" s="134"/>
      <c r="H356" s="133"/>
      <c r="I356" s="133"/>
      <c r="J356" s="133"/>
      <c r="K356" s="135"/>
      <c r="L356" s="128"/>
      <c r="M356" s="133"/>
      <c r="N356" s="128"/>
      <c r="O356" s="133"/>
      <c r="P356" s="131"/>
      <c r="Q356" s="133"/>
      <c r="R356" s="54"/>
      <c r="S356" s="134"/>
      <c r="T356" s="133"/>
      <c r="U356" s="149"/>
      <c r="V356" s="134"/>
      <c r="W356" s="136"/>
      <c r="X356" s="136"/>
      <c r="Y356" s="134"/>
      <c r="Z356" s="136"/>
      <c r="AA356" s="128"/>
      <c r="AB356" s="134"/>
      <c r="AC356" s="133"/>
      <c r="AD356" s="133"/>
      <c r="AE356" s="128"/>
      <c r="AF356" s="133"/>
    </row>
    <row r="357" spans="1:32" ht="12.75" customHeight="1" hidden="1">
      <c r="A357" s="133"/>
      <c r="B357" s="133"/>
      <c r="C357" s="132"/>
      <c r="D357" s="133"/>
      <c r="E357" s="133"/>
      <c r="F357" s="133"/>
      <c r="G357" s="134"/>
      <c r="H357" s="133"/>
      <c r="I357" s="133"/>
      <c r="J357" s="133"/>
      <c r="K357" s="135"/>
      <c r="L357" s="128"/>
      <c r="M357" s="133"/>
      <c r="N357" s="128"/>
      <c r="O357" s="133"/>
      <c r="P357" s="131"/>
      <c r="Q357" s="133"/>
      <c r="R357" s="54"/>
      <c r="S357" s="134"/>
      <c r="T357" s="133"/>
      <c r="U357" s="149"/>
      <c r="V357" s="134"/>
      <c r="W357" s="136"/>
      <c r="X357" s="136"/>
      <c r="Y357" s="134"/>
      <c r="Z357" s="136"/>
      <c r="AA357" s="128"/>
      <c r="AB357" s="134"/>
      <c r="AC357" s="133"/>
      <c r="AD357" s="133"/>
      <c r="AE357" s="128"/>
      <c r="AF357" s="133"/>
    </row>
    <row r="358" spans="1:32" ht="12.75" customHeight="1" hidden="1">
      <c r="A358" s="133"/>
      <c r="B358" s="133"/>
      <c r="C358" s="132"/>
      <c r="D358" s="133"/>
      <c r="E358" s="133"/>
      <c r="F358" s="133"/>
      <c r="G358" s="134"/>
      <c r="H358" s="133"/>
      <c r="I358" s="133"/>
      <c r="J358" s="133"/>
      <c r="K358" s="135"/>
      <c r="L358" s="128"/>
      <c r="M358" s="133"/>
      <c r="N358" s="128"/>
      <c r="O358" s="133"/>
      <c r="P358" s="131"/>
      <c r="Q358" s="133"/>
      <c r="R358" s="54"/>
      <c r="S358" s="134"/>
      <c r="T358" s="133"/>
      <c r="U358" s="149"/>
      <c r="V358" s="134"/>
      <c r="W358" s="136"/>
      <c r="X358" s="136"/>
      <c r="Y358" s="134"/>
      <c r="Z358" s="136"/>
      <c r="AA358" s="128"/>
      <c r="AB358" s="134"/>
      <c r="AC358" s="133"/>
      <c r="AD358" s="133"/>
      <c r="AE358" s="128"/>
      <c r="AF358" s="133"/>
    </row>
    <row r="359" spans="1:32" ht="12.75" customHeight="1" hidden="1">
      <c r="A359" s="133"/>
      <c r="B359" s="133"/>
      <c r="C359" s="132"/>
      <c r="D359" s="133"/>
      <c r="E359" s="133"/>
      <c r="F359" s="133"/>
      <c r="G359" s="134"/>
      <c r="H359" s="133"/>
      <c r="I359" s="133"/>
      <c r="J359" s="133"/>
      <c r="K359" s="135"/>
      <c r="L359" s="128"/>
      <c r="M359" s="133"/>
      <c r="N359" s="128"/>
      <c r="O359" s="133"/>
      <c r="P359" s="131"/>
      <c r="Q359" s="133"/>
      <c r="R359" s="54"/>
      <c r="S359" s="134"/>
      <c r="T359" s="133"/>
      <c r="U359" s="149"/>
      <c r="V359" s="134"/>
      <c r="W359" s="136"/>
      <c r="X359" s="136"/>
      <c r="Y359" s="134"/>
      <c r="Z359" s="136"/>
      <c r="AA359" s="128"/>
      <c r="AB359" s="134"/>
      <c r="AC359" s="133"/>
      <c r="AD359" s="133"/>
      <c r="AE359" s="128"/>
      <c r="AF359" s="133"/>
    </row>
    <row r="360" spans="1:32" ht="12.75" customHeight="1" hidden="1">
      <c r="A360" s="133"/>
      <c r="B360" s="133"/>
      <c r="C360" s="132"/>
      <c r="D360" s="133"/>
      <c r="E360" s="133"/>
      <c r="F360" s="133"/>
      <c r="G360" s="134"/>
      <c r="H360" s="133"/>
      <c r="I360" s="133"/>
      <c r="J360" s="133"/>
      <c r="K360" s="135"/>
      <c r="L360" s="128"/>
      <c r="M360" s="133"/>
      <c r="N360" s="128"/>
      <c r="O360" s="133"/>
      <c r="P360" s="131"/>
      <c r="Q360" s="133"/>
      <c r="R360" s="54"/>
      <c r="S360" s="134"/>
      <c r="T360" s="133"/>
      <c r="U360" s="149"/>
      <c r="V360" s="134"/>
      <c r="W360" s="136"/>
      <c r="X360" s="136"/>
      <c r="Y360" s="134"/>
      <c r="Z360" s="136"/>
      <c r="AA360" s="128"/>
      <c r="AB360" s="134"/>
      <c r="AC360" s="133"/>
      <c r="AD360" s="133"/>
      <c r="AE360" s="128"/>
      <c r="AF360" s="133"/>
    </row>
    <row r="361" spans="1:32" ht="12.75" customHeight="1" hidden="1">
      <c r="A361" s="133"/>
      <c r="B361" s="133"/>
      <c r="C361" s="132"/>
      <c r="D361" s="133"/>
      <c r="E361" s="133"/>
      <c r="F361" s="133"/>
      <c r="G361" s="134"/>
      <c r="H361" s="133"/>
      <c r="I361" s="133"/>
      <c r="J361" s="133"/>
      <c r="K361" s="135"/>
      <c r="L361" s="128"/>
      <c r="M361" s="133"/>
      <c r="N361" s="128"/>
      <c r="O361" s="133"/>
      <c r="P361" s="131"/>
      <c r="Q361" s="133"/>
      <c r="R361" s="54"/>
      <c r="S361" s="134"/>
      <c r="T361" s="133"/>
      <c r="U361" s="149"/>
      <c r="V361" s="134"/>
      <c r="W361" s="136"/>
      <c r="X361" s="136"/>
      <c r="Y361" s="134"/>
      <c r="Z361" s="136"/>
      <c r="AA361" s="128"/>
      <c r="AB361" s="134"/>
      <c r="AC361" s="133"/>
      <c r="AD361" s="133"/>
      <c r="AE361" s="128"/>
      <c r="AF361" s="133"/>
    </row>
    <row r="362" spans="1:32" ht="12.75" customHeight="1" hidden="1">
      <c r="A362" s="133"/>
      <c r="B362" s="133"/>
      <c r="C362" s="132"/>
      <c r="D362" s="133"/>
      <c r="E362" s="133"/>
      <c r="F362" s="133"/>
      <c r="G362" s="134"/>
      <c r="H362" s="133"/>
      <c r="I362" s="133"/>
      <c r="J362" s="133"/>
      <c r="K362" s="135"/>
      <c r="L362" s="128"/>
      <c r="M362" s="133"/>
      <c r="N362" s="128"/>
      <c r="O362" s="133"/>
      <c r="P362" s="131"/>
      <c r="Q362" s="133"/>
      <c r="R362" s="54"/>
      <c r="S362" s="134"/>
      <c r="T362" s="133"/>
      <c r="U362" s="149"/>
      <c r="V362" s="134"/>
      <c r="W362" s="136"/>
      <c r="X362" s="136"/>
      <c r="Y362" s="134"/>
      <c r="Z362" s="136"/>
      <c r="AA362" s="128"/>
      <c r="AB362" s="134"/>
      <c r="AC362" s="133"/>
      <c r="AD362" s="133"/>
      <c r="AE362" s="128"/>
      <c r="AF362" s="133"/>
    </row>
    <row r="363" spans="1:32" ht="12.75" customHeight="1" hidden="1">
      <c r="A363" s="133"/>
      <c r="B363" s="133"/>
      <c r="C363" s="132"/>
      <c r="D363" s="133"/>
      <c r="E363" s="133"/>
      <c r="F363" s="133"/>
      <c r="G363" s="134"/>
      <c r="H363" s="133"/>
      <c r="I363" s="133"/>
      <c r="J363" s="133"/>
      <c r="K363" s="135"/>
      <c r="L363" s="128"/>
      <c r="M363" s="133"/>
      <c r="N363" s="128"/>
      <c r="O363" s="133"/>
      <c r="P363" s="131"/>
      <c r="Q363" s="133"/>
      <c r="R363" s="54"/>
      <c r="S363" s="134"/>
      <c r="T363" s="133"/>
      <c r="U363" s="149"/>
      <c r="V363" s="134"/>
      <c r="W363" s="136"/>
      <c r="X363" s="136"/>
      <c r="Y363" s="134"/>
      <c r="Z363" s="136"/>
      <c r="AA363" s="128"/>
      <c r="AB363" s="134"/>
      <c r="AC363" s="133"/>
      <c r="AD363" s="133"/>
      <c r="AE363" s="128"/>
      <c r="AF363" s="133"/>
    </row>
    <row r="364" spans="1:32" ht="12.75" customHeight="1" hidden="1">
      <c r="A364" s="133"/>
      <c r="B364" s="133"/>
      <c r="C364" s="132"/>
      <c r="D364" s="133"/>
      <c r="E364" s="133"/>
      <c r="F364" s="133"/>
      <c r="G364" s="134"/>
      <c r="H364" s="133"/>
      <c r="I364" s="133"/>
      <c r="J364" s="133"/>
      <c r="K364" s="135"/>
      <c r="L364" s="128"/>
      <c r="M364" s="133"/>
      <c r="N364" s="128"/>
      <c r="O364" s="133"/>
      <c r="P364" s="131"/>
      <c r="Q364" s="133"/>
      <c r="R364" s="54"/>
      <c r="S364" s="134"/>
      <c r="T364" s="133"/>
      <c r="U364" s="149"/>
      <c r="V364" s="134"/>
      <c r="W364" s="136"/>
      <c r="X364" s="136"/>
      <c r="Y364" s="134"/>
      <c r="Z364" s="136"/>
      <c r="AA364" s="128"/>
      <c r="AB364" s="134"/>
      <c r="AC364" s="133"/>
      <c r="AD364" s="133"/>
      <c r="AE364" s="128"/>
      <c r="AF364" s="133"/>
    </row>
    <row r="365" spans="1:32" ht="12.75" customHeight="1" hidden="1">
      <c r="A365" s="133"/>
      <c r="B365" s="133"/>
      <c r="C365" s="132"/>
      <c r="D365" s="133"/>
      <c r="E365" s="133"/>
      <c r="F365" s="133"/>
      <c r="G365" s="134"/>
      <c r="H365" s="133"/>
      <c r="I365" s="133"/>
      <c r="J365" s="133"/>
      <c r="K365" s="135"/>
      <c r="L365" s="128"/>
      <c r="M365" s="133"/>
      <c r="N365" s="128"/>
      <c r="O365" s="133"/>
      <c r="P365" s="131"/>
      <c r="Q365" s="133"/>
      <c r="R365" s="54"/>
      <c r="S365" s="134"/>
      <c r="T365" s="133"/>
      <c r="U365" s="149"/>
      <c r="V365" s="134"/>
      <c r="W365" s="136"/>
      <c r="X365" s="136"/>
      <c r="Y365" s="134"/>
      <c r="Z365" s="136"/>
      <c r="AA365" s="128"/>
      <c r="AB365" s="134"/>
      <c r="AC365" s="133"/>
      <c r="AD365" s="133"/>
      <c r="AE365" s="128"/>
      <c r="AF365" s="133"/>
    </row>
    <row r="366" spans="1:32" ht="12.75" customHeight="1" hidden="1">
      <c r="A366" s="133"/>
      <c r="B366" s="133"/>
      <c r="C366" s="132"/>
      <c r="D366" s="133"/>
      <c r="E366" s="133"/>
      <c r="F366" s="133"/>
      <c r="G366" s="134"/>
      <c r="H366" s="133"/>
      <c r="I366" s="133"/>
      <c r="J366" s="133"/>
      <c r="K366" s="135"/>
      <c r="L366" s="128"/>
      <c r="M366" s="133"/>
      <c r="N366" s="128"/>
      <c r="O366" s="133"/>
      <c r="P366" s="131"/>
      <c r="Q366" s="133"/>
      <c r="R366" s="54"/>
      <c r="S366" s="134"/>
      <c r="T366" s="133"/>
      <c r="U366" s="149"/>
      <c r="V366" s="134"/>
      <c r="W366" s="136"/>
      <c r="X366" s="136"/>
      <c r="Y366" s="134"/>
      <c r="Z366" s="136"/>
      <c r="AA366" s="128"/>
      <c r="AB366" s="134"/>
      <c r="AC366" s="133"/>
      <c r="AD366" s="133"/>
      <c r="AE366" s="128"/>
      <c r="AF366" s="133"/>
    </row>
    <row r="367" spans="1:32" ht="12.75" customHeight="1" hidden="1">
      <c r="A367" s="133"/>
      <c r="B367" s="133"/>
      <c r="C367" s="132"/>
      <c r="D367" s="133"/>
      <c r="E367" s="133"/>
      <c r="F367" s="133"/>
      <c r="G367" s="134"/>
      <c r="H367" s="133"/>
      <c r="I367" s="133"/>
      <c r="J367" s="133"/>
      <c r="K367" s="135"/>
      <c r="L367" s="128"/>
      <c r="M367" s="133"/>
      <c r="N367" s="128"/>
      <c r="O367" s="133"/>
      <c r="P367" s="131"/>
      <c r="Q367" s="133"/>
      <c r="R367" s="54"/>
      <c r="S367" s="134"/>
      <c r="T367" s="133"/>
      <c r="U367" s="149"/>
      <c r="V367" s="134"/>
      <c r="W367" s="136"/>
      <c r="X367" s="136"/>
      <c r="Y367" s="134"/>
      <c r="Z367" s="136"/>
      <c r="AA367" s="128"/>
      <c r="AB367" s="134"/>
      <c r="AC367" s="133"/>
      <c r="AD367" s="133"/>
      <c r="AE367" s="128"/>
      <c r="AF367" s="133"/>
    </row>
    <row r="368" spans="1:32" ht="12.75" customHeight="1" hidden="1">
      <c r="A368" s="133"/>
      <c r="B368" s="133"/>
      <c r="C368" s="132"/>
      <c r="D368" s="133"/>
      <c r="E368" s="133"/>
      <c r="F368" s="133"/>
      <c r="G368" s="134"/>
      <c r="H368" s="133"/>
      <c r="I368" s="133"/>
      <c r="J368" s="133"/>
      <c r="K368" s="135"/>
      <c r="L368" s="128"/>
      <c r="M368" s="133"/>
      <c r="N368" s="128"/>
      <c r="O368" s="133"/>
      <c r="P368" s="131"/>
      <c r="Q368" s="133"/>
      <c r="R368" s="54"/>
      <c r="S368" s="134"/>
      <c r="T368" s="133"/>
      <c r="U368" s="149"/>
      <c r="V368" s="134"/>
      <c r="W368" s="136"/>
      <c r="X368" s="136"/>
      <c r="Y368" s="134"/>
      <c r="Z368" s="136"/>
      <c r="AA368" s="128"/>
      <c r="AB368" s="134"/>
      <c r="AC368" s="133"/>
      <c r="AD368" s="133"/>
      <c r="AE368" s="128"/>
      <c r="AF368" s="133"/>
    </row>
    <row r="369" spans="1:32" ht="12.75" customHeight="1" hidden="1">
      <c r="A369" s="133"/>
      <c r="B369" s="133"/>
      <c r="C369" s="132"/>
      <c r="D369" s="133"/>
      <c r="E369" s="133"/>
      <c r="F369" s="133"/>
      <c r="G369" s="134"/>
      <c r="H369" s="133"/>
      <c r="I369" s="133"/>
      <c r="J369" s="133"/>
      <c r="K369" s="135"/>
      <c r="L369" s="128"/>
      <c r="M369" s="133"/>
      <c r="N369" s="128"/>
      <c r="O369" s="133"/>
      <c r="P369" s="131"/>
      <c r="Q369" s="133"/>
      <c r="R369" s="54"/>
      <c r="S369" s="134"/>
      <c r="T369" s="133"/>
      <c r="U369" s="149"/>
      <c r="V369" s="134"/>
      <c r="W369" s="136"/>
      <c r="X369" s="136"/>
      <c r="Y369" s="134"/>
      <c r="Z369" s="136"/>
      <c r="AA369" s="128"/>
      <c r="AB369" s="134"/>
      <c r="AC369" s="133"/>
      <c r="AD369" s="133"/>
      <c r="AE369" s="128"/>
      <c r="AF369" s="133"/>
    </row>
    <row r="370" spans="1:32" ht="12.75" customHeight="1" hidden="1">
      <c r="A370" s="133"/>
      <c r="B370" s="133"/>
      <c r="C370" s="132"/>
      <c r="D370" s="133"/>
      <c r="E370" s="133"/>
      <c r="F370" s="133"/>
      <c r="G370" s="134"/>
      <c r="H370" s="133"/>
      <c r="I370" s="133"/>
      <c r="J370" s="133"/>
      <c r="K370" s="135"/>
      <c r="L370" s="128"/>
      <c r="M370" s="133"/>
      <c r="N370" s="128"/>
      <c r="O370" s="133"/>
      <c r="P370" s="131"/>
      <c r="Q370" s="133"/>
      <c r="R370" s="54"/>
      <c r="S370" s="134"/>
      <c r="T370" s="133"/>
      <c r="U370" s="149"/>
      <c r="V370" s="134"/>
      <c r="W370" s="136"/>
      <c r="X370" s="136"/>
      <c r="Y370" s="134"/>
      <c r="Z370" s="136"/>
      <c r="AA370" s="128"/>
      <c r="AB370" s="134"/>
      <c r="AC370" s="133"/>
      <c r="AD370" s="133"/>
      <c r="AE370" s="128"/>
      <c r="AF370" s="133"/>
    </row>
    <row r="371" spans="1:32" ht="12.75" customHeight="1" hidden="1">
      <c r="A371" s="133"/>
      <c r="B371" s="133"/>
      <c r="C371" s="132"/>
      <c r="D371" s="133"/>
      <c r="E371" s="133"/>
      <c r="F371" s="133"/>
      <c r="G371" s="134"/>
      <c r="H371" s="133"/>
      <c r="I371" s="133"/>
      <c r="J371" s="133"/>
      <c r="K371" s="135"/>
      <c r="L371" s="128"/>
      <c r="M371" s="133"/>
      <c r="N371" s="128"/>
      <c r="O371" s="133"/>
      <c r="P371" s="131"/>
      <c r="Q371" s="133"/>
      <c r="R371" s="54"/>
      <c r="S371" s="134"/>
      <c r="T371" s="133"/>
      <c r="U371" s="149"/>
      <c r="V371" s="134"/>
      <c r="W371" s="136"/>
      <c r="X371" s="136"/>
      <c r="Y371" s="134"/>
      <c r="Z371" s="136"/>
      <c r="AA371" s="128"/>
      <c r="AB371" s="134"/>
      <c r="AC371" s="133"/>
      <c r="AD371" s="133"/>
      <c r="AE371" s="128"/>
      <c r="AF371" s="133"/>
    </row>
    <row r="372" spans="1:32" ht="12.75" customHeight="1" hidden="1">
      <c r="A372" s="133"/>
      <c r="B372" s="133"/>
      <c r="C372" s="132"/>
      <c r="D372" s="133"/>
      <c r="E372" s="133"/>
      <c r="F372" s="133"/>
      <c r="G372" s="134"/>
      <c r="H372" s="133"/>
      <c r="I372" s="133"/>
      <c r="J372" s="133"/>
      <c r="K372" s="135"/>
      <c r="L372" s="128"/>
      <c r="M372" s="133"/>
      <c r="N372" s="128"/>
      <c r="O372" s="133"/>
      <c r="P372" s="131"/>
      <c r="Q372" s="133"/>
      <c r="R372" s="54"/>
      <c r="S372" s="134"/>
      <c r="T372" s="133"/>
      <c r="U372" s="149"/>
      <c r="V372" s="134"/>
      <c r="W372" s="136"/>
      <c r="X372" s="136"/>
      <c r="Y372" s="134"/>
      <c r="Z372" s="136"/>
      <c r="AA372" s="128"/>
      <c r="AB372" s="134"/>
      <c r="AC372" s="133"/>
      <c r="AD372" s="133"/>
      <c r="AE372" s="128"/>
      <c r="AF372" s="133"/>
    </row>
    <row r="373" spans="1:32" ht="12.75" customHeight="1" hidden="1">
      <c r="A373" s="133"/>
      <c r="B373" s="133"/>
      <c r="C373" s="132"/>
      <c r="D373" s="133"/>
      <c r="E373" s="133"/>
      <c r="F373" s="133"/>
      <c r="G373" s="134"/>
      <c r="H373" s="133"/>
      <c r="I373" s="133"/>
      <c r="J373" s="133"/>
      <c r="K373" s="135"/>
      <c r="L373" s="128"/>
      <c r="M373" s="133"/>
      <c r="N373" s="128"/>
      <c r="O373" s="133"/>
      <c r="P373" s="131"/>
      <c r="Q373" s="133"/>
      <c r="R373" s="54"/>
      <c r="S373" s="134"/>
      <c r="T373" s="133"/>
      <c r="U373" s="149"/>
      <c r="V373" s="134"/>
      <c r="W373" s="136"/>
      <c r="X373" s="136"/>
      <c r="Y373" s="134"/>
      <c r="Z373" s="136"/>
      <c r="AA373" s="128"/>
      <c r="AB373" s="134"/>
      <c r="AC373" s="133"/>
      <c r="AD373" s="133"/>
      <c r="AE373" s="128"/>
      <c r="AF373" s="133"/>
    </row>
    <row r="374" spans="1:32" ht="12.75" customHeight="1" hidden="1">
      <c r="A374" s="133"/>
      <c r="B374" s="133"/>
      <c r="C374" s="132"/>
      <c r="D374" s="133"/>
      <c r="E374" s="133"/>
      <c r="F374" s="133"/>
      <c r="G374" s="134"/>
      <c r="H374" s="133"/>
      <c r="I374" s="133"/>
      <c r="J374" s="133"/>
      <c r="K374" s="135"/>
      <c r="L374" s="128"/>
      <c r="M374" s="133"/>
      <c r="N374" s="128"/>
      <c r="O374" s="133"/>
      <c r="P374" s="131"/>
      <c r="Q374" s="133"/>
      <c r="R374" s="54"/>
      <c r="S374" s="134"/>
      <c r="T374" s="133"/>
      <c r="U374" s="149"/>
      <c r="V374" s="134"/>
      <c r="W374" s="136"/>
      <c r="X374" s="136"/>
      <c r="Y374" s="134"/>
      <c r="Z374" s="136"/>
      <c r="AA374" s="128"/>
      <c r="AB374" s="134"/>
      <c r="AC374" s="133"/>
      <c r="AD374" s="133"/>
      <c r="AE374" s="128"/>
      <c r="AF374" s="133"/>
    </row>
    <row r="375" spans="1:32" ht="12.75" customHeight="1" hidden="1">
      <c r="A375" s="133"/>
      <c r="B375" s="133"/>
      <c r="C375" s="132"/>
      <c r="D375" s="133"/>
      <c r="E375" s="133"/>
      <c r="F375" s="133"/>
      <c r="G375" s="134"/>
      <c r="H375" s="133"/>
      <c r="I375" s="133"/>
      <c r="J375" s="133"/>
      <c r="K375" s="135"/>
      <c r="L375" s="128"/>
      <c r="M375" s="133"/>
      <c r="N375" s="128"/>
      <c r="O375" s="133"/>
      <c r="P375" s="131"/>
      <c r="Q375" s="133"/>
      <c r="R375" s="54"/>
      <c r="S375" s="134"/>
      <c r="T375" s="133"/>
      <c r="U375" s="149"/>
      <c r="V375" s="134"/>
      <c r="W375" s="136"/>
      <c r="X375" s="136"/>
      <c r="Y375" s="134"/>
      <c r="Z375" s="136"/>
      <c r="AA375" s="128"/>
      <c r="AB375" s="134"/>
      <c r="AC375" s="133"/>
      <c r="AD375" s="133"/>
      <c r="AE375" s="128"/>
      <c r="AF375" s="133"/>
    </row>
    <row r="376" spans="1:32" ht="12.75" customHeight="1" hidden="1">
      <c r="A376" s="133"/>
      <c r="B376" s="133"/>
      <c r="C376" s="132"/>
      <c r="D376" s="133"/>
      <c r="E376" s="133"/>
      <c r="F376" s="133"/>
      <c r="G376" s="134"/>
      <c r="H376" s="133"/>
      <c r="I376" s="133"/>
      <c r="J376" s="133"/>
      <c r="K376" s="135"/>
      <c r="L376" s="128"/>
      <c r="M376" s="133"/>
      <c r="N376" s="128"/>
      <c r="O376" s="133"/>
      <c r="P376" s="131"/>
      <c r="Q376" s="133"/>
      <c r="R376" s="54"/>
      <c r="S376" s="134"/>
      <c r="T376" s="133"/>
      <c r="U376" s="149"/>
      <c r="V376" s="134"/>
      <c r="W376" s="136"/>
      <c r="X376" s="136"/>
      <c r="Y376" s="134"/>
      <c r="Z376" s="136"/>
      <c r="AA376" s="128"/>
      <c r="AB376" s="134"/>
      <c r="AC376" s="133"/>
      <c r="AD376" s="133"/>
      <c r="AE376" s="128"/>
      <c r="AF376" s="133"/>
    </row>
    <row r="377" spans="1:32" ht="12.75" customHeight="1" hidden="1">
      <c r="A377" s="133"/>
      <c r="B377" s="133"/>
      <c r="C377" s="132"/>
      <c r="D377" s="133"/>
      <c r="E377" s="133"/>
      <c r="F377" s="133"/>
      <c r="G377" s="134"/>
      <c r="H377" s="133"/>
      <c r="I377" s="133"/>
      <c r="J377" s="133"/>
      <c r="K377" s="135"/>
      <c r="L377" s="128"/>
      <c r="M377" s="133"/>
      <c r="N377" s="128"/>
      <c r="O377" s="133"/>
      <c r="P377" s="131"/>
      <c r="Q377" s="133"/>
      <c r="R377" s="54"/>
      <c r="S377" s="134"/>
      <c r="T377" s="133"/>
      <c r="U377" s="149"/>
      <c r="V377" s="134"/>
      <c r="W377" s="136"/>
      <c r="X377" s="136"/>
      <c r="Y377" s="134"/>
      <c r="Z377" s="136"/>
      <c r="AA377" s="128"/>
      <c r="AB377" s="134"/>
      <c r="AC377" s="133"/>
      <c r="AD377" s="133"/>
      <c r="AE377" s="128"/>
      <c r="AF377" s="133"/>
    </row>
    <row r="378" spans="1:32" ht="12.75" customHeight="1" hidden="1">
      <c r="A378" s="133"/>
      <c r="B378" s="133"/>
      <c r="C378" s="132"/>
      <c r="D378" s="133"/>
      <c r="E378" s="133"/>
      <c r="F378" s="133"/>
      <c r="G378" s="134"/>
      <c r="H378" s="133"/>
      <c r="I378" s="133"/>
      <c r="J378" s="133"/>
      <c r="K378" s="135"/>
      <c r="L378" s="128"/>
      <c r="M378" s="133"/>
      <c r="N378" s="128"/>
      <c r="O378" s="133"/>
      <c r="P378" s="131"/>
      <c r="Q378" s="133"/>
      <c r="R378" s="54"/>
      <c r="S378" s="134"/>
      <c r="T378" s="133"/>
      <c r="U378" s="149"/>
      <c r="V378" s="134"/>
      <c r="W378" s="136"/>
      <c r="X378" s="136"/>
      <c r="Y378" s="134"/>
      <c r="Z378" s="136"/>
      <c r="AA378" s="128"/>
      <c r="AB378" s="134"/>
      <c r="AC378" s="133"/>
      <c r="AD378" s="133"/>
      <c r="AE378" s="128"/>
      <c r="AF378" s="133"/>
    </row>
    <row r="379" spans="1:32" ht="12.75" customHeight="1" hidden="1">
      <c r="A379" s="133"/>
      <c r="B379" s="133"/>
      <c r="C379" s="132"/>
      <c r="D379" s="133"/>
      <c r="E379" s="133"/>
      <c r="F379" s="133"/>
      <c r="G379" s="134"/>
      <c r="H379" s="133"/>
      <c r="I379" s="133"/>
      <c r="J379" s="133"/>
      <c r="K379" s="135"/>
      <c r="L379" s="128"/>
      <c r="M379" s="133"/>
      <c r="N379" s="128"/>
      <c r="O379" s="133"/>
      <c r="P379" s="131"/>
      <c r="Q379" s="133"/>
      <c r="R379" s="54"/>
      <c r="S379" s="134"/>
      <c r="T379" s="133"/>
      <c r="U379" s="149"/>
      <c r="V379" s="134"/>
      <c r="W379" s="136"/>
      <c r="X379" s="136"/>
      <c r="Y379" s="134"/>
      <c r="Z379" s="136"/>
      <c r="AA379" s="128"/>
      <c r="AB379" s="134"/>
      <c r="AC379" s="133"/>
      <c r="AD379" s="133"/>
      <c r="AE379" s="128"/>
      <c r="AF379" s="133"/>
    </row>
    <row r="380" spans="1:32" ht="12.75" customHeight="1" hidden="1">
      <c r="A380" s="133"/>
      <c r="B380" s="133"/>
      <c r="C380" s="132"/>
      <c r="D380" s="133"/>
      <c r="E380" s="133"/>
      <c r="F380" s="133"/>
      <c r="G380" s="134"/>
      <c r="H380" s="133"/>
      <c r="I380" s="133"/>
      <c r="J380" s="133"/>
      <c r="K380" s="135"/>
      <c r="L380" s="128"/>
      <c r="M380" s="133"/>
      <c r="N380" s="128"/>
      <c r="O380" s="133"/>
      <c r="P380" s="131"/>
      <c r="Q380" s="133"/>
      <c r="R380" s="54"/>
      <c r="S380" s="134"/>
      <c r="T380" s="133"/>
      <c r="U380" s="149"/>
      <c r="V380" s="134"/>
      <c r="W380" s="136"/>
      <c r="X380" s="136"/>
      <c r="Y380" s="134"/>
      <c r="Z380" s="136"/>
      <c r="AA380" s="128"/>
      <c r="AB380" s="134"/>
      <c r="AC380" s="133"/>
      <c r="AD380" s="133"/>
      <c r="AE380" s="128"/>
      <c r="AF380" s="133"/>
    </row>
    <row r="381" spans="1:32" ht="12.75" customHeight="1" hidden="1">
      <c r="A381" s="133"/>
      <c r="B381" s="133"/>
      <c r="C381" s="132"/>
      <c r="D381" s="133"/>
      <c r="E381" s="133"/>
      <c r="F381" s="133"/>
      <c r="G381" s="134"/>
      <c r="H381" s="133"/>
      <c r="I381" s="133"/>
      <c r="J381" s="133"/>
      <c r="K381" s="135"/>
      <c r="L381" s="128"/>
      <c r="M381" s="133"/>
      <c r="N381" s="128"/>
      <c r="O381" s="133"/>
      <c r="P381" s="131"/>
      <c r="Q381" s="133"/>
      <c r="R381" s="54"/>
      <c r="S381" s="134"/>
      <c r="T381" s="133"/>
      <c r="U381" s="149"/>
      <c r="V381" s="134"/>
      <c r="W381" s="136"/>
      <c r="X381" s="136"/>
      <c r="Y381" s="134"/>
      <c r="Z381" s="136"/>
      <c r="AA381" s="128"/>
      <c r="AB381" s="134"/>
      <c r="AC381" s="133"/>
      <c r="AD381" s="133"/>
      <c r="AE381" s="128"/>
      <c r="AF381" s="133"/>
    </row>
    <row r="382" spans="1:32" ht="12.75" customHeight="1" hidden="1">
      <c r="A382" s="133"/>
      <c r="B382" s="133"/>
      <c r="C382" s="132"/>
      <c r="D382" s="133"/>
      <c r="E382" s="133"/>
      <c r="F382" s="133"/>
      <c r="G382" s="134"/>
      <c r="H382" s="133"/>
      <c r="I382" s="133"/>
      <c r="J382" s="133"/>
      <c r="K382" s="135"/>
      <c r="L382" s="128"/>
      <c r="M382" s="133"/>
      <c r="N382" s="128"/>
      <c r="O382" s="133"/>
      <c r="P382" s="131"/>
      <c r="Q382" s="133"/>
      <c r="R382" s="54"/>
      <c r="S382" s="134"/>
      <c r="T382" s="133"/>
      <c r="U382" s="149"/>
      <c r="V382" s="134"/>
      <c r="W382" s="136"/>
      <c r="X382" s="136"/>
      <c r="Y382" s="134"/>
      <c r="Z382" s="136"/>
      <c r="AA382" s="128"/>
      <c r="AB382" s="134"/>
      <c r="AC382" s="133"/>
      <c r="AD382" s="133"/>
      <c r="AE382" s="128"/>
      <c r="AF382" s="133"/>
    </row>
    <row r="383" spans="1:32" ht="12.75" customHeight="1" hidden="1">
      <c r="A383" s="133"/>
      <c r="B383" s="133"/>
      <c r="C383" s="132"/>
      <c r="D383" s="133"/>
      <c r="E383" s="133"/>
      <c r="F383" s="133"/>
      <c r="G383" s="134"/>
      <c r="H383" s="133"/>
      <c r="I383" s="133"/>
      <c r="J383" s="133"/>
      <c r="K383" s="135"/>
      <c r="L383" s="128"/>
      <c r="M383" s="133"/>
      <c r="N383" s="128"/>
      <c r="O383" s="133"/>
      <c r="P383" s="131"/>
      <c r="Q383" s="133"/>
      <c r="R383" s="54"/>
      <c r="S383" s="134"/>
      <c r="T383" s="133"/>
      <c r="U383" s="149"/>
      <c r="V383" s="134"/>
      <c r="W383" s="136"/>
      <c r="X383" s="136"/>
      <c r="Y383" s="134"/>
      <c r="Z383" s="136"/>
      <c r="AA383" s="128"/>
      <c r="AB383" s="134"/>
      <c r="AC383" s="133"/>
      <c r="AD383" s="133"/>
      <c r="AE383" s="128"/>
      <c r="AF383" s="133"/>
    </row>
    <row r="384" spans="1:32" ht="12.75" customHeight="1" hidden="1">
      <c r="A384" s="133"/>
      <c r="B384" s="133"/>
      <c r="C384" s="132"/>
      <c r="D384" s="133"/>
      <c r="E384" s="133"/>
      <c r="F384" s="133"/>
      <c r="G384" s="134"/>
      <c r="H384" s="133"/>
      <c r="I384" s="133"/>
      <c r="J384" s="133"/>
      <c r="K384" s="135"/>
      <c r="L384" s="128"/>
      <c r="M384" s="133"/>
      <c r="N384" s="128"/>
      <c r="O384" s="133"/>
      <c r="P384" s="131"/>
      <c r="Q384" s="133"/>
      <c r="R384" s="54"/>
      <c r="S384" s="134"/>
      <c r="T384" s="133"/>
      <c r="U384" s="149"/>
      <c r="V384" s="134"/>
      <c r="W384" s="136"/>
      <c r="X384" s="136"/>
      <c r="Y384" s="134"/>
      <c r="Z384" s="136"/>
      <c r="AA384" s="128"/>
      <c r="AB384" s="134"/>
      <c r="AC384" s="133"/>
      <c r="AD384" s="133"/>
      <c r="AE384" s="128"/>
      <c r="AF384" s="133"/>
    </row>
    <row r="385" spans="1:32" ht="12.75" customHeight="1" hidden="1">
      <c r="A385" s="133"/>
      <c r="B385" s="133"/>
      <c r="C385" s="132"/>
      <c r="D385" s="133"/>
      <c r="E385" s="133"/>
      <c r="F385" s="133"/>
      <c r="G385" s="134"/>
      <c r="H385" s="133"/>
      <c r="I385" s="133"/>
      <c r="J385" s="133"/>
      <c r="K385" s="135"/>
      <c r="L385" s="128"/>
      <c r="M385" s="133"/>
      <c r="N385" s="128"/>
      <c r="O385" s="133"/>
      <c r="P385" s="131"/>
      <c r="Q385" s="133"/>
      <c r="R385" s="54"/>
      <c r="S385" s="134"/>
      <c r="T385" s="133"/>
      <c r="U385" s="149"/>
      <c r="V385" s="134"/>
      <c r="W385" s="136"/>
      <c r="X385" s="136"/>
      <c r="Y385" s="134"/>
      <c r="Z385" s="136"/>
      <c r="AA385" s="128"/>
      <c r="AB385" s="134"/>
      <c r="AC385" s="133"/>
      <c r="AD385" s="133"/>
      <c r="AE385" s="128"/>
      <c r="AF385" s="133"/>
    </row>
    <row r="386" spans="1:32" ht="12.75" customHeight="1" hidden="1">
      <c r="A386" s="133"/>
      <c r="B386" s="133"/>
      <c r="C386" s="132"/>
      <c r="D386" s="133"/>
      <c r="E386" s="133"/>
      <c r="F386" s="133"/>
      <c r="G386" s="134"/>
      <c r="H386" s="133"/>
      <c r="I386" s="133"/>
      <c r="J386" s="133"/>
      <c r="K386" s="135"/>
      <c r="L386" s="128"/>
      <c r="M386" s="133"/>
      <c r="N386" s="128"/>
      <c r="O386" s="133"/>
      <c r="P386" s="131"/>
      <c r="Q386" s="133"/>
      <c r="R386" s="54"/>
      <c r="S386" s="134"/>
      <c r="T386" s="133"/>
      <c r="U386" s="149"/>
      <c r="V386" s="134"/>
      <c r="W386" s="136"/>
      <c r="X386" s="136"/>
      <c r="Y386" s="134"/>
      <c r="Z386" s="136"/>
      <c r="AA386" s="128"/>
      <c r="AB386" s="134"/>
      <c r="AC386" s="133"/>
      <c r="AD386" s="133"/>
      <c r="AE386" s="128"/>
      <c r="AF386" s="133"/>
    </row>
    <row r="387" spans="1:32" ht="12.75" customHeight="1" hidden="1">
      <c r="A387" s="133"/>
      <c r="B387" s="133"/>
      <c r="C387" s="132"/>
      <c r="D387" s="133"/>
      <c r="E387" s="133"/>
      <c r="F387" s="133"/>
      <c r="G387" s="134"/>
      <c r="H387" s="133"/>
      <c r="I387" s="133"/>
      <c r="J387" s="133"/>
      <c r="K387" s="135"/>
      <c r="L387" s="128"/>
      <c r="M387" s="133"/>
      <c r="N387" s="128"/>
      <c r="O387" s="133"/>
      <c r="P387" s="131"/>
      <c r="Q387" s="133"/>
      <c r="R387" s="54"/>
      <c r="S387" s="134"/>
      <c r="T387" s="133"/>
      <c r="U387" s="149"/>
      <c r="V387" s="134"/>
      <c r="W387" s="136"/>
      <c r="X387" s="136"/>
      <c r="Y387" s="134"/>
      <c r="Z387" s="136"/>
      <c r="AA387" s="128"/>
      <c r="AB387" s="134"/>
      <c r="AC387" s="133"/>
      <c r="AD387" s="133"/>
      <c r="AE387" s="128"/>
      <c r="AF387" s="133"/>
    </row>
    <row r="388" spans="1:32" ht="12.75" customHeight="1" hidden="1">
      <c r="A388" s="133"/>
      <c r="B388" s="133"/>
      <c r="C388" s="132"/>
      <c r="D388" s="133"/>
      <c r="E388" s="133"/>
      <c r="F388" s="133"/>
      <c r="G388" s="134"/>
      <c r="H388" s="133"/>
      <c r="I388" s="133"/>
      <c r="J388" s="133"/>
      <c r="K388" s="135"/>
      <c r="L388" s="128"/>
      <c r="M388" s="133"/>
      <c r="N388" s="128"/>
      <c r="O388" s="133"/>
      <c r="P388" s="131"/>
      <c r="Q388" s="133"/>
      <c r="R388" s="54"/>
      <c r="S388" s="134"/>
      <c r="T388" s="133"/>
      <c r="U388" s="149"/>
      <c r="V388" s="134"/>
      <c r="W388" s="136"/>
      <c r="X388" s="136"/>
      <c r="Y388" s="134"/>
      <c r="Z388" s="136"/>
      <c r="AA388" s="128"/>
      <c r="AB388" s="134"/>
      <c r="AC388" s="133"/>
      <c r="AD388" s="133"/>
      <c r="AE388" s="128"/>
      <c r="AF388" s="133"/>
    </row>
    <row r="389" spans="1:32" ht="12.75" customHeight="1" hidden="1">
      <c r="A389" s="133"/>
      <c r="B389" s="133"/>
      <c r="C389" s="132"/>
      <c r="D389" s="133"/>
      <c r="E389" s="133"/>
      <c r="F389" s="133"/>
      <c r="G389" s="134"/>
      <c r="H389" s="133"/>
      <c r="I389" s="133"/>
      <c r="J389" s="133"/>
      <c r="K389" s="135"/>
      <c r="L389" s="128"/>
      <c r="M389" s="133"/>
      <c r="N389" s="128"/>
      <c r="O389" s="133"/>
      <c r="P389" s="131"/>
      <c r="Q389" s="133"/>
      <c r="R389" s="54"/>
      <c r="S389" s="134"/>
      <c r="T389" s="133"/>
      <c r="U389" s="149"/>
      <c r="V389" s="134"/>
      <c r="W389" s="136"/>
      <c r="X389" s="136"/>
      <c r="Y389" s="134"/>
      <c r="Z389" s="136"/>
      <c r="AA389" s="128"/>
      <c r="AB389" s="134"/>
      <c r="AC389" s="133"/>
      <c r="AD389" s="133"/>
      <c r="AE389" s="128"/>
      <c r="AF389" s="133"/>
    </row>
    <row r="390" spans="1:32" ht="12.75" customHeight="1" hidden="1">
      <c r="A390" s="133"/>
      <c r="B390" s="133"/>
      <c r="C390" s="132"/>
      <c r="D390" s="133"/>
      <c r="E390" s="133"/>
      <c r="F390" s="133"/>
      <c r="G390" s="134"/>
      <c r="H390" s="133"/>
      <c r="I390" s="133"/>
      <c r="J390" s="133"/>
      <c r="K390" s="135"/>
      <c r="L390" s="128"/>
      <c r="M390" s="133"/>
      <c r="N390" s="128"/>
      <c r="O390" s="133"/>
      <c r="P390" s="131"/>
      <c r="Q390" s="133"/>
      <c r="R390" s="54"/>
      <c r="S390" s="134"/>
      <c r="T390" s="133"/>
      <c r="U390" s="149"/>
      <c r="V390" s="134"/>
      <c r="W390" s="136"/>
      <c r="X390" s="136"/>
      <c r="Y390" s="134"/>
      <c r="Z390" s="136"/>
      <c r="AA390" s="128"/>
      <c r="AB390" s="134"/>
      <c r="AC390" s="133"/>
      <c r="AD390" s="133"/>
      <c r="AE390" s="128"/>
      <c r="AF390" s="133"/>
    </row>
    <row r="391" spans="1:32" ht="12.75" customHeight="1" hidden="1">
      <c r="A391" s="133"/>
      <c r="B391" s="133"/>
      <c r="C391" s="132"/>
      <c r="D391" s="133"/>
      <c r="E391" s="133"/>
      <c r="F391" s="133"/>
      <c r="G391" s="134"/>
      <c r="H391" s="133"/>
      <c r="I391" s="133"/>
      <c r="J391" s="133"/>
      <c r="K391" s="135"/>
      <c r="L391" s="128"/>
      <c r="M391" s="133"/>
      <c r="N391" s="128"/>
      <c r="O391" s="133"/>
      <c r="P391" s="131"/>
      <c r="Q391" s="133"/>
      <c r="R391" s="54"/>
      <c r="S391" s="134"/>
      <c r="T391" s="133"/>
      <c r="U391" s="149"/>
      <c r="V391" s="134"/>
      <c r="W391" s="136"/>
      <c r="X391" s="136"/>
      <c r="Y391" s="134"/>
      <c r="Z391" s="136"/>
      <c r="AA391" s="128"/>
      <c r="AB391" s="134"/>
      <c r="AC391" s="133"/>
      <c r="AD391" s="133"/>
      <c r="AE391" s="128"/>
      <c r="AF391" s="133"/>
    </row>
    <row r="392" spans="1:32" ht="12.75" customHeight="1" hidden="1">
      <c r="A392" s="133"/>
      <c r="B392" s="133"/>
      <c r="C392" s="132"/>
      <c r="D392" s="133"/>
      <c r="E392" s="133"/>
      <c r="F392" s="133"/>
      <c r="G392" s="134"/>
      <c r="H392" s="133"/>
      <c r="I392" s="133"/>
      <c r="J392" s="133"/>
      <c r="K392" s="135"/>
      <c r="L392" s="128"/>
      <c r="M392" s="133"/>
      <c r="N392" s="128"/>
      <c r="O392" s="133"/>
      <c r="P392" s="131"/>
      <c r="Q392" s="133"/>
      <c r="R392" s="54"/>
      <c r="S392" s="134"/>
      <c r="T392" s="133"/>
      <c r="U392" s="149"/>
      <c r="V392" s="134"/>
      <c r="W392" s="136"/>
      <c r="X392" s="136"/>
      <c r="Y392" s="134"/>
      <c r="Z392" s="136"/>
      <c r="AA392" s="128"/>
      <c r="AB392" s="134"/>
      <c r="AC392" s="133"/>
      <c r="AD392" s="133"/>
      <c r="AE392" s="128"/>
      <c r="AF392" s="133"/>
    </row>
    <row r="393" spans="1:32" ht="12.75" customHeight="1" hidden="1">
      <c r="A393" s="133"/>
      <c r="B393" s="133"/>
      <c r="C393" s="132"/>
      <c r="D393" s="133"/>
      <c r="E393" s="133"/>
      <c r="F393" s="133"/>
      <c r="G393" s="134"/>
      <c r="H393" s="133"/>
      <c r="I393" s="133"/>
      <c r="J393" s="133"/>
      <c r="K393" s="135"/>
      <c r="L393" s="128"/>
      <c r="M393" s="133"/>
      <c r="N393" s="128"/>
      <c r="O393" s="133"/>
      <c r="P393" s="131"/>
      <c r="Q393" s="133"/>
      <c r="R393" s="54"/>
      <c r="S393" s="134"/>
      <c r="T393" s="133"/>
      <c r="U393" s="149"/>
      <c r="V393" s="134"/>
      <c r="W393" s="136"/>
      <c r="X393" s="136"/>
      <c r="Y393" s="134"/>
      <c r="Z393" s="136"/>
      <c r="AA393" s="128"/>
      <c r="AB393" s="134"/>
      <c r="AC393" s="133"/>
      <c r="AD393" s="133"/>
      <c r="AE393" s="128"/>
      <c r="AF393" s="133"/>
    </row>
    <row r="394" spans="1:32" ht="12.75" customHeight="1" hidden="1">
      <c r="A394" s="133"/>
      <c r="B394" s="133"/>
      <c r="C394" s="132"/>
      <c r="D394" s="133"/>
      <c r="E394" s="133"/>
      <c r="F394" s="133"/>
      <c r="G394" s="134"/>
      <c r="H394" s="133"/>
      <c r="I394" s="133"/>
      <c r="J394" s="133"/>
      <c r="K394" s="135"/>
      <c r="L394" s="128"/>
      <c r="M394" s="133"/>
      <c r="N394" s="128"/>
      <c r="O394" s="133"/>
      <c r="P394" s="131"/>
      <c r="Q394" s="133"/>
      <c r="R394" s="54"/>
      <c r="S394" s="134"/>
      <c r="T394" s="133"/>
      <c r="U394" s="149"/>
      <c r="V394" s="134"/>
      <c r="W394" s="136"/>
      <c r="X394" s="136"/>
      <c r="Y394" s="134"/>
      <c r="Z394" s="136"/>
      <c r="AA394" s="128"/>
      <c r="AB394" s="134"/>
      <c r="AC394" s="133"/>
      <c r="AD394" s="133"/>
      <c r="AE394" s="128"/>
      <c r="AF394" s="133"/>
    </row>
    <row r="395" spans="1:32" ht="12.75" customHeight="1" hidden="1">
      <c r="A395" s="133"/>
      <c r="B395" s="133"/>
      <c r="C395" s="132"/>
      <c r="D395" s="133"/>
      <c r="E395" s="133"/>
      <c r="F395" s="133"/>
      <c r="G395" s="134"/>
      <c r="H395" s="133"/>
      <c r="I395" s="133"/>
      <c r="J395" s="133"/>
      <c r="K395" s="135"/>
      <c r="L395" s="128"/>
      <c r="M395" s="133"/>
      <c r="N395" s="128"/>
      <c r="O395" s="133"/>
      <c r="P395" s="131"/>
      <c r="Q395" s="133"/>
      <c r="R395" s="54"/>
      <c r="S395" s="134"/>
      <c r="T395" s="133"/>
      <c r="U395" s="149"/>
      <c r="V395" s="134"/>
      <c r="W395" s="136"/>
      <c r="X395" s="136"/>
      <c r="Y395" s="134"/>
      <c r="Z395" s="136"/>
      <c r="AA395" s="128"/>
      <c r="AB395" s="134"/>
      <c r="AC395" s="133"/>
      <c r="AD395" s="133"/>
      <c r="AE395" s="128"/>
      <c r="AF395" s="133"/>
    </row>
    <row r="396" spans="1:32" ht="12.75" customHeight="1" hidden="1">
      <c r="A396" s="133"/>
      <c r="B396" s="133"/>
      <c r="C396" s="132"/>
      <c r="D396" s="133"/>
      <c r="E396" s="133"/>
      <c r="F396" s="133"/>
      <c r="G396" s="134"/>
      <c r="H396" s="133"/>
      <c r="I396" s="133"/>
      <c r="J396" s="133"/>
      <c r="K396" s="135"/>
      <c r="L396" s="128"/>
      <c r="M396" s="133"/>
      <c r="N396" s="128"/>
      <c r="O396" s="133"/>
      <c r="P396" s="131"/>
      <c r="Q396" s="133"/>
      <c r="R396" s="54"/>
      <c r="S396" s="134"/>
      <c r="T396" s="133"/>
      <c r="U396" s="149"/>
      <c r="V396" s="134"/>
      <c r="W396" s="136"/>
      <c r="X396" s="136"/>
      <c r="Y396" s="134"/>
      <c r="Z396" s="136"/>
      <c r="AA396" s="128"/>
      <c r="AB396" s="134"/>
      <c r="AC396" s="133"/>
      <c r="AD396" s="133"/>
      <c r="AE396" s="128"/>
      <c r="AF396" s="133"/>
    </row>
    <row r="397" spans="1:32" ht="12.75" customHeight="1" hidden="1">
      <c r="A397" s="133"/>
      <c r="B397" s="133"/>
      <c r="C397" s="132"/>
      <c r="D397" s="133"/>
      <c r="E397" s="133"/>
      <c r="F397" s="133"/>
      <c r="G397" s="134"/>
      <c r="H397" s="133"/>
      <c r="I397" s="133"/>
      <c r="J397" s="133"/>
      <c r="K397" s="135"/>
      <c r="L397" s="128"/>
      <c r="M397" s="133"/>
      <c r="N397" s="128"/>
      <c r="O397" s="133"/>
      <c r="P397" s="131"/>
      <c r="Q397" s="133"/>
      <c r="R397" s="54"/>
      <c r="S397" s="134"/>
      <c r="T397" s="133"/>
      <c r="U397" s="149"/>
      <c r="V397" s="134"/>
      <c r="W397" s="136"/>
      <c r="X397" s="136"/>
      <c r="Y397" s="134"/>
      <c r="Z397" s="136"/>
      <c r="AA397" s="128"/>
      <c r="AB397" s="134"/>
      <c r="AC397" s="133"/>
      <c r="AD397" s="133"/>
      <c r="AE397" s="128"/>
      <c r="AF397" s="133"/>
    </row>
    <row r="398" spans="1:32" ht="12.75" customHeight="1" hidden="1">
      <c r="A398" s="133"/>
      <c r="B398" s="133"/>
      <c r="C398" s="132"/>
      <c r="D398" s="133"/>
      <c r="E398" s="133"/>
      <c r="F398" s="133"/>
      <c r="G398" s="134"/>
      <c r="H398" s="133"/>
      <c r="I398" s="133"/>
      <c r="J398" s="133"/>
      <c r="K398" s="135"/>
      <c r="L398" s="128"/>
      <c r="M398" s="133"/>
      <c r="N398" s="128"/>
      <c r="O398" s="133"/>
      <c r="P398" s="131"/>
      <c r="Q398" s="133"/>
      <c r="R398" s="54"/>
      <c r="S398" s="134"/>
      <c r="T398" s="133"/>
      <c r="U398" s="149"/>
      <c r="V398" s="134"/>
      <c r="W398" s="136"/>
      <c r="X398" s="136"/>
      <c r="Y398" s="134"/>
      <c r="Z398" s="136"/>
      <c r="AA398" s="128"/>
      <c r="AB398" s="134"/>
      <c r="AC398" s="133"/>
      <c r="AD398" s="133"/>
      <c r="AE398" s="128"/>
      <c r="AF398" s="133"/>
    </row>
    <row r="399" spans="1:32" ht="12.75" customHeight="1" hidden="1">
      <c r="A399" s="133"/>
      <c r="B399" s="133"/>
      <c r="C399" s="132"/>
      <c r="D399" s="133"/>
      <c r="E399" s="133"/>
      <c r="F399" s="133"/>
      <c r="G399" s="134"/>
      <c r="H399" s="133"/>
      <c r="I399" s="133"/>
      <c r="J399" s="133"/>
      <c r="K399" s="135"/>
      <c r="L399" s="128"/>
      <c r="M399" s="133"/>
      <c r="N399" s="128"/>
      <c r="O399" s="133"/>
      <c r="P399" s="131"/>
      <c r="Q399" s="133"/>
      <c r="R399" s="54"/>
      <c r="S399" s="134"/>
      <c r="T399" s="133"/>
      <c r="U399" s="149"/>
      <c r="V399" s="134"/>
      <c r="W399" s="136"/>
      <c r="X399" s="136"/>
      <c r="Y399" s="134"/>
      <c r="Z399" s="136"/>
      <c r="AA399" s="128"/>
      <c r="AB399" s="134"/>
      <c r="AC399" s="133"/>
      <c r="AD399" s="133"/>
      <c r="AE399" s="128"/>
      <c r="AF399" s="133"/>
    </row>
    <row r="400" spans="1:32" ht="12.75" customHeight="1" hidden="1">
      <c r="A400" s="133"/>
      <c r="B400" s="133"/>
      <c r="C400" s="132"/>
      <c r="D400" s="133"/>
      <c r="E400" s="133"/>
      <c r="F400" s="133"/>
      <c r="G400" s="134"/>
      <c r="H400" s="133"/>
      <c r="I400" s="133"/>
      <c r="J400" s="133"/>
      <c r="K400" s="135"/>
      <c r="L400" s="128"/>
      <c r="M400" s="133"/>
      <c r="N400" s="128"/>
      <c r="O400" s="133"/>
      <c r="P400" s="131"/>
      <c r="Q400" s="133"/>
      <c r="R400" s="54"/>
      <c r="S400" s="134"/>
      <c r="T400" s="133"/>
      <c r="U400" s="149"/>
      <c r="V400" s="134"/>
      <c r="W400" s="136"/>
      <c r="X400" s="136"/>
      <c r="Y400" s="134"/>
      <c r="Z400" s="136"/>
      <c r="AA400" s="128"/>
      <c r="AB400" s="134"/>
      <c r="AC400" s="133"/>
      <c r="AD400" s="133"/>
      <c r="AE400" s="128"/>
      <c r="AF400" s="133"/>
    </row>
    <row r="401" spans="1:32" ht="12.75" customHeight="1" hidden="1">
      <c r="A401" s="133"/>
      <c r="B401" s="133"/>
      <c r="C401" s="132"/>
      <c r="D401" s="133"/>
      <c r="E401" s="133"/>
      <c r="F401" s="133"/>
      <c r="G401" s="134"/>
      <c r="H401" s="133"/>
      <c r="I401" s="133"/>
      <c r="J401" s="133"/>
      <c r="K401" s="135"/>
      <c r="L401" s="128"/>
      <c r="M401" s="133"/>
      <c r="N401" s="128"/>
      <c r="O401" s="133"/>
      <c r="P401" s="131"/>
      <c r="Q401" s="133"/>
      <c r="R401" s="54"/>
      <c r="S401" s="134"/>
      <c r="T401" s="133"/>
      <c r="U401" s="149"/>
      <c r="V401" s="134"/>
      <c r="W401" s="136"/>
      <c r="X401" s="136"/>
      <c r="Y401" s="134"/>
      <c r="Z401" s="136"/>
      <c r="AA401" s="128"/>
      <c r="AB401" s="134"/>
      <c r="AC401" s="133"/>
      <c r="AD401" s="133"/>
      <c r="AE401" s="128"/>
      <c r="AF401" s="133"/>
    </row>
    <row r="402" spans="1:32" ht="12.75" customHeight="1" hidden="1">
      <c r="A402" s="133"/>
      <c r="B402" s="133"/>
      <c r="C402" s="132"/>
      <c r="D402" s="133"/>
      <c r="E402" s="133"/>
      <c r="F402" s="133"/>
      <c r="G402" s="134"/>
      <c r="H402" s="133"/>
      <c r="I402" s="133"/>
      <c r="J402" s="133"/>
      <c r="K402" s="135"/>
      <c r="L402" s="128"/>
      <c r="M402" s="133"/>
      <c r="N402" s="128"/>
      <c r="O402" s="133"/>
      <c r="P402" s="131"/>
      <c r="Q402" s="133"/>
      <c r="R402" s="54"/>
      <c r="S402" s="134"/>
      <c r="T402" s="133"/>
      <c r="U402" s="149"/>
      <c r="V402" s="134"/>
      <c r="W402" s="136"/>
      <c r="X402" s="136"/>
      <c r="Y402" s="134"/>
      <c r="Z402" s="136"/>
      <c r="AA402" s="128"/>
      <c r="AB402" s="134"/>
      <c r="AC402" s="133"/>
      <c r="AD402" s="133"/>
      <c r="AE402" s="128"/>
      <c r="AF402" s="133"/>
    </row>
    <row r="403" spans="1:32" ht="12.75" customHeight="1" hidden="1">
      <c r="A403" s="133"/>
      <c r="B403" s="133"/>
      <c r="C403" s="132"/>
      <c r="D403" s="133"/>
      <c r="E403" s="133"/>
      <c r="F403" s="133"/>
      <c r="G403" s="134"/>
      <c r="H403" s="133"/>
      <c r="I403" s="133"/>
      <c r="J403" s="133"/>
      <c r="K403" s="135"/>
      <c r="L403" s="128"/>
      <c r="M403" s="133"/>
      <c r="N403" s="128"/>
      <c r="O403" s="133"/>
      <c r="P403" s="131"/>
      <c r="Q403" s="133"/>
      <c r="R403" s="54"/>
      <c r="S403" s="134"/>
      <c r="T403" s="133"/>
      <c r="U403" s="149"/>
      <c r="V403" s="134"/>
      <c r="W403" s="136"/>
      <c r="X403" s="136"/>
      <c r="Y403" s="134"/>
      <c r="Z403" s="136"/>
      <c r="AA403" s="128"/>
      <c r="AB403" s="134"/>
      <c r="AC403" s="133"/>
      <c r="AD403" s="133"/>
      <c r="AE403" s="128"/>
      <c r="AF403" s="133"/>
    </row>
    <row r="404" spans="1:32" ht="12.75" customHeight="1" hidden="1">
      <c r="A404" s="133"/>
      <c r="B404" s="133"/>
      <c r="C404" s="132"/>
      <c r="D404" s="133"/>
      <c r="E404" s="133"/>
      <c r="F404" s="133"/>
      <c r="G404" s="134"/>
      <c r="H404" s="133"/>
      <c r="I404" s="133"/>
      <c r="J404" s="133"/>
      <c r="K404" s="135"/>
      <c r="L404" s="128"/>
      <c r="M404" s="133"/>
      <c r="N404" s="128"/>
      <c r="O404" s="133"/>
      <c r="P404" s="131"/>
      <c r="Q404" s="133"/>
      <c r="R404" s="54"/>
      <c r="S404" s="134"/>
      <c r="T404" s="133"/>
      <c r="U404" s="149"/>
      <c r="V404" s="134"/>
      <c r="W404" s="136"/>
      <c r="X404" s="136"/>
      <c r="Y404" s="134"/>
      <c r="Z404" s="136"/>
      <c r="AA404" s="128"/>
      <c r="AB404" s="134"/>
      <c r="AC404" s="133"/>
      <c r="AD404" s="133"/>
      <c r="AE404" s="128"/>
      <c r="AF404" s="133"/>
    </row>
    <row r="405" spans="1:32" ht="12.75" customHeight="1" hidden="1">
      <c r="A405" s="133"/>
      <c r="B405" s="133"/>
      <c r="C405" s="132"/>
      <c r="D405" s="133"/>
      <c r="E405" s="133"/>
      <c r="F405" s="133"/>
      <c r="G405" s="134"/>
      <c r="H405" s="133"/>
      <c r="I405" s="133"/>
      <c r="J405" s="133"/>
      <c r="K405" s="135"/>
      <c r="L405" s="128"/>
      <c r="M405" s="133"/>
      <c r="N405" s="128"/>
      <c r="O405" s="133"/>
      <c r="P405" s="131"/>
      <c r="Q405" s="133"/>
      <c r="R405" s="54"/>
      <c r="S405" s="134"/>
      <c r="T405" s="133"/>
      <c r="U405" s="149"/>
      <c r="V405" s="134"/>
      <c r="W405" s="136"/>
      <c r="X405" s="136"/>
      <c r="Y405" s="134"/>
      <c r="Z405" s="136"/>
      <c r="AA405" s="128"/>
      <c r="AB405" s="134"/>
      <c r="AC405" s="133"/>
      <c r="AD405" s="133"/>
      <c r="AE405" s="128"/>
      <c r="AF405" s="133"/>
    </row>
    <row r="406" spans="1:32" ht="12.75" customHeight="1" hidden="1">
      <c r="A406" s="133"/>
      <c r="B406" s="133"/>
      <c r="C406" s="132"/>
      <c r="D406" s="133"/>
      <c r="E406" s="133"/>
      <c r="F406" s="133"/>
      <c r="G406" s="134"/>
      <c r="H406" s="133"/>
      <c r="I406" s="133"/>
      <c r="J406" s="133"/>
      <c r="K406" s="135"/>
      <c r="L406" s="128"/>
      <c r="M406" s="133"/>
      <c r="N406" s="128"/>
      <c r="O406" s="133"/>
      <c r="P406" s="131"/>
      <c r="Q406" s="133"/>
      <c r="R406" s="54"/>
      <c r="S406" s="134"/>
      <c r="T406" s="133"/>
      <c r="U406" s="149"/>
      <c r="V406" s="134"/>
      <c r="W406" s="136"/>
      <c r="X406" s="136"/>
      <c r="Y406" s="134"/>
      <c r="Z406" s="136"/>
      <c r="AA406" s="128"/>
      <c r="AB406" s="134"/>
      <c r="AC406" s="133"/>
      <c r="AD406" s="133"/>
      <c r="AE406" s="128"/>
      <c r="AF406" s="133"/>
    </row>
    <row r="407" spans="1:32" ht="12.75" customHeight="1" hidden="1">
      <c r="A407" s="133"/>
      <c r="B407" s="133"/>
      <c r="C407" s="132"/>
      <c r="D407" s="133"/>
      <c r="E407" s="133"/>
      <c r="F407" s="133"/>
      <c r="G407" s="134"/>
      <c r="H407" s="133"/>
      <c r="I407" s="133"/>
      <c r="J407" s="133"/>
      <c r="K407" s="135"/>
      <c r="L407" s="128"/>
      <c r="M407" s="133"/>
      <c r="N407" s="128"/>
      <c r="O407" s="133"/>
      <c r="P407" s="131"/>
      <c r="Q407" s="133"/>
      <c r="R407" s="54"/>
      <c r="S407" s="134"/>
      <c r="T407" s="133"/>
      <c r="U407" s="149"/>
      <c r="V407" s="134"/>
      <c r="W407" s="136"/>
      <c r="X407" s="136"/>
      <c r="Y407" s="134"/>
      <c r="Z407" s="136"/>
      <c r="AA407" s="128"/>
      <c r="AB407" s="134"/>
      <c r="AC407" s="133"/>
      <c r="AD407" s="133"/>
      <c r="AE407" s="128"/>
      <c r="AF407" s="133"/>
    </row>
    <row r="408" spans="1:32" ht="12.75" customHeight="1" hidden="1">
      <c r="A408" s="133"/>
      <c r="B408" s="133"/>
      <c r="C408" s="132"/>
      <c r="D408" s="133"/>
      <c r="E408" s="133"/>
      <c r="F408" s="133"/>
      <c r="G408" s="134"/>
      <c r="H408" s="133"/>
      <c r="I408" s="133"/>
      <c r="J408" s="133"/>
      <c r="K408" s="135"/>
      <c r="L408" s="128"/>
      <c r="M408" s="133"/>
      <c r="N408" s="128"/>
      <c r="O408" s="133"/>
      <c r="P408" s="131"/>
      <c r="Q408" s="133"/>
      <c r="R408" s="54"/>
      <c r="S408" s="134"/>
      <c r="T408" s="133"/>
      <c r="U408" s="149"/>
      <c r="V408" s="134"/>
      <c r="W408" s="136"/>
      <c r="X408" s="136"/>
      <c r="Y408" s="134"/>
      <c r="Z408" s="136"/>
      <c r="AA408" s="128"/>
      <c r="AB408" s="134"/>
      <c r="AC408" s="133"/>
      <c r="AD408" s="133"/>
      <c r="AE408" s="128"/>
      <c r="AF408" s="133"/>
    </row>
    <row r="409" spans="1:32" ht="12.75" customHeight="1" hidden="1">
      <c r="A409" s="133"/>
      <c r="B409" s="133"/>
      <c r="C409" s="132"/>
      <c r="D409" s="133"/>
      <c r="E409" s="133"/>
      <c r="F409" s="133"/>
      <c r="G409" s="134"/>
      <c r="H409" s="133"/>
      <c r="I409" s="133"/>
      <c r="J409" s="133"/>
      <c r="K409" s="135"/>
      <c r="L409" s="128"/>
      <c r="M409" s="133"/>
      <c r="N409" s="128"/>
      <c r="O409" s="133"/>
      <c r="P409" s="131"/>
      <c r="Q409" s="133"/>
      <c r="R409" s="54"/>
      <c r="S409" s="134"/>
      <c r="T409" s="133"/>
      <c r="U409" s="149"/>
      <c r="V409" s="134"/>
      <c r="W409" s="136"/>
      <c r="X409" s="136"/>
      <c r="Y409" s="134"/>
      <c r="Z409" s="136"/>
      <c r="AA409" s="128"/>
      <c r="AB409" s="134"/>
      <c r="AC409" s="133"/>
      <c r="AD409" s="133"/>
      <c r="AE409" s="128"/>
      <c r="AF409" s="133"/>
    </row>
    <row r="410" spans="1:32" ht="12.75" customHeight="1" hidden="1">
      <c r="A410" s="133"/>
      <c r="B410" s="133"/>
      <c r="C410" s="132"/>
      <c r="D410" s="133"/>
      <c r="E410" s="133"/>
      <c r="F410" s="133"/>
      <c r="G410" s="134"/>
      <c r="H410" s="133"/>
      <c r="I410" s="133"/>
      <c r="J410" s="133"/>
      <c r="K410" s="135"/>
      <c r="L410" s="128"/>
      <c r="M410" s="133"/>
      <c r="N410" s="128"/>
      <c r="O410" s="133"/>
      <c r="P410" s="131"/>
      <c r="Q410" s="133"/>
      <c r="R410" s="54"/>
      <c r="S410" s="134"/>
      <c r="T410" s="133"/>
      <c r="U410" s="149"/>
      <c r="V410" s="134"/>
      <c r="W410" s="136"/>
      <c r="X410" s="136"/>
      <c r="Y410" s="134"/>
      <c r="Z410" s="136"/>
      <c r="AA410" s="128"/>
      <c r="AB410" s="134"/>
      <c r="AC410" s="133"/>
      <c r="AD410" s="133"/>
      <c r="AE410" s="128"/>
      <c r="AF410" s="133"/>
    </row>
    <row r="411" spans="1:32" ht="12.75" customHeight="1" hidden="1">
      <c r="A411" s="133"/>
      <c r="B411" s="133"/>
      <c r="C411" s="132"/>
      <c r="D411" s="133"/>
      <c r="E411" s="133"/>
      <c r="F411" s="133"/>
      <c r="G411" s="134"/>
      <c r="H411" s="133"/>
      <c r="I411" s="133"/>
      <c r="J411" s="133"/>
      <c r="K411" s="135"/>
      <c r="L411" s="128"/>
      <c r="M411" s="133"/>
      <c r="N411" s="128"/>
      <c r="O411" s="133"/>
      <c r="P411" s="131"/>
      <c r="Q411" s="133"/>
      <c r="R411" s="54"/>
      <c r="S411" s="134"/>
      <c r="T411" s="133"/>
      <c r="U411" s="149"/>
      <c r="V411" s="134"/>
      <c r="W411" s="136"/>
      <c r="X411" s="136"/>
      <c r="Y411" s="134"/>
      <c r="Z411" s="136"/>
      <c r="AA411" s="128"/>
      <c r="AB411" s="134"/>
      <c r="AC411" s="133"/>
      <c r="AD411" s="133"/>
      <c r="AE411" s="128"/>
      <c r="AF411" s="133"/>
    </row>
    <row r="412" spans="1:32" ht="12.75" customHeight="1" hidden="1">
      <c r="A412" s="133"/>
      <c r="B412" s="133"/>
      <c r="C412" s="132"/>
      <c r="D412" s="133"/>
      <c r="E412" s="133"/>
      <c r="F412" s="133"/>
      <c r="G412" s="134"/>
      <c r="H412" s="133"/>
      <c r="I412" s="133"/>
      <c r="J412" s="133"/>
      <c r="K412" s="135"/>
      <c r="L412" s="128"/>
      <c r="M412" s="133"/>
      <c r="N412" s="128"/>
      <c r="O412" s="133"/>
      <c r="P412" s="131"/>
      <c r="Q412" s="133"/>
      <c r="R412" s="54"/>
      <c r="S412" s="134"/>
      <c r="T412" s="133"/>
      <c r="U412" s="149"/>
      <c r="V412" s="134"/>
      <c r="W412" s="136"/>
      <c r="X412" s="136"/>
      <c r="Y412" s="134"/>
      <c r="Z412" s="136"/>
      <c r="AA412" s="128"/>
      <c r="AB412" s="134"/>
      <c r="AC412" s="133"/>
      <c r="AD412" s="133"/>
      <c r="AE412" s="128"/>
      <c r="AF412" s="133"/>
    </row>
    <row r="413" spans="1:32" ht="12.75" customHeight="1" hidden="1">
      <c r="A413" s="133"/>
      <c r="B413" s="133"/>
      <c r="C413" s="132"/>
      <c r="D413" s="133"/>
      <c r="E413" s="133"/>
      <c r="F413" s="133"/>
      <c r="G413" s="134"/>
      <c r="H413" s="133"/>
      <c r="I413" s="133"/>
      <c r="J413" s="133"/>
      <c r="K413" s="135"/>
      <c r="L413" s="128"/>
      <c r="M413" s="133"/>
      <c r="N413" s="128"/>
      <c r="O413" s="133"/>
      <c r="P413" s="131"/>
      <c r="Q413" s="133"/>
      <c r="R413" s="54"/>
      <c r="S413" s="134"/>
      <c r="T413" s="133"/>
      <c r="U413" s="149"/>
      <c r="V413" s="134"/>
      <c r="W413" s="136"/>
      <c r="X413" s="136"/>
      <c r="Y413" s="134"/>
      <c r="Z413" s="136"/>
      <c r="AA413" s="128"/>
      <c r="AB413" s="134"/>
      <c r="AC413" s="133"/>
      <c r="AD413" s="133"/>
      <c r="AE413" s="128"/>
      <c r="AF413" s="133"/>
    </row>
    <row r="414" spans="1:32" ht="12.75" customHeight="1" hidden="1">
      <c r="A414" s="133"/>
      <c r="B414" s="133"/>
      <c r="C414" s="132"/>
      <c r="D414" s="133"/>
      <c r="E414" s="133"/>
      <c r="F414" s="133"/>
      <c r="G414" s="134"/>
      <c r="H414" s="133"/>
      <c r="I414" s="133"/>
      <c r="J414" s="133"/>
      <c r="K414" s="135"/>
      <c r="L414" s="128"/>
      <c r="M414" s="133"/>
      <c r="N414" s="128"/>
      <c r="O414" s="133"/>
      <c r="P414" s="131"/>
      <c r="Q414" s="133"/>
      <c r="R414" s="54"/>
      <c r="S414" s="134"/>
      <c r="T414" s="133"/>
      <c r="U414" s="149"/>
      <c r="V414" s="134"/>
      <c r="W414" s="136"/>
      <c r="X414" s="136"/>
      <c r="Y414" s="134"/>
      <c r="Z414" s="136"/>
      <c r="AA414" s="128"/>
      <c r="AB414" s="134"/>
      <c r="AC414" s="133"/>
      <c r="AD414" s="133"/>
      <c r="AE414" s="128"/>
      <c r="AF414" s="133"/>
    </row>
    <row r="415" spans="1:32" ht="12.75" customHeight="1" hidden="1">
      <c r="A415" s="133"/>
      <c r="B415" s="133"/>
      <c r="C415" s="132"/>
      <c r="D415" s="133"/>
      <c r="E415" s="133"/>
      <c r="F415" s="133"/>
      <c r="G415" s="134"/>
      <c r="H415" s="133"/>
      <c r="I415" s="133"/>
      <c r="J415" s="133"/>
      <c r="K415" s="135"/>
      <c r="L415" s="128"/>
      <c r="M415" s="133"/>
      <c r="N415" s="128"/>
      <c r="O415" s="133"/>
      <c r="P415" s="131"/>
      <c r="Q415" s="133"/>
      <c r="R415" s="54"/>
      <c r="S415" s="134"/>
      <c r="T415" s="133"/>
      <c r="U415" s="149"/>
      <c r="V415" s="134"/>
      <c r="W415" s="136"/>
      <c r="X415" s="136"/>
      <c r="Y415" s="134"/>
      <c r="Z415" s="136"/>
      <c r="AA415" s="128"/>
      <c r="AB415" s="134"/>
      <c r="AC415" s="133"/>
      <c r="AD415" s="133"/>
      <c r="AE415" s="128"/>
      <c r="AF415" s="133"/>
    </row>
    <row r="416" spans="1:32" ht="12.75" customHeight="1" hidden="1">
      <c r="A416" s="133"/>
      <c r="B416" s="133"/>
      <c r="C416" s="132"/>
      <c r="D416" s="133"/>
      <c r="E416" s="133"/>
      <c r="F416" s="133"/>
      <c r="G416" s="134"/>
      <c r="H416" s="133"/>
      <c r="I416" s="133"/>
      <c r="J416" s="133"/>
      <c r="K416" s="135"/>
      <c r="L416" s="128"/>
      <c r="M416" s="133"/>
      <c r="N416" s="128"/>
      <c r="O416" s="133"/>
      <c r="P416" s="131"/>
      <c r="Q416" s="133"/>
      <c r="R416" s="54"/>
      <c r="S416" s="134"/>
      <c r="T416" s="133"/>
      <c r="U416" s="149"/>
      <c r="V416" s="134"/>
      <c r="W416" s="136"/>
      <c r="X416" s="136"/>
      <c r="Y416" s="134"/>
      <c r="Z416" s="136"/>
      <c r="AA416" s="128"/>
      <c r="AB416" s="134"/>
      <c r="AC416" s="133"/>
      <c r="AD416" s="133"/>
      <c r="AE416" s="128"/>
      <c r="AF416" s="133"/>
    </row>
    <row r="417" spans="1:32" ht="12.75" customHeight="1" hidden="1">
      <c r="A417" s="133"/>
      <c r="B417" s="133"/>
      <c r="C417" s="132"/>
      <c r="D417" s="133"/>
      <c r="E417" s="133"/>
      <c r="F417" s="133"/>
      <c r="G417" s="134"/>
      <c r="H417" s="133"/>
      <c r="I417" s="133"/>
      <c r="J417" s="133"/>
      <c r="K417" s="135"/>
      <c r="L417" s="128"/>
      <c r="M417" s="133"/>
      <c r="N417" s="128"/>
      <c r="O417" s="133"/>
      <c r="P417" s="131"/>
      <c r="Q417" s="133"/>
      <c r="R417" s="54"/>
      <c r="S417" s="134"/>
      <c r="T417" s="133"/>
      <c r="U417" s="149"/>
      <c r="V417" s="134"/>
      <c r="W417" s="136"/>
      <c r="X417" s="136"/>
      <c r="Y417" s="134"/>
      <c r="Z417" s="136"/>
      <c r="AA417" s="128"/>
      <c r="AB417" s="134"/>
      <c r="AC417" s="133"/>
      <c r="AD417" s="133"/>
      <c r="AE417" s="128"/>
      <c r="AF417" s="133"/>
    </row>
    <row r="418" spans="1:32" ht="12.75" customHeight="1" hidden="1">
      <c r="A418" s="133"/>
      <c r="B418" s="133"/>
      <c r="C418" s="132"/>
      <c r="D418" s="133"/>
      <c r="E418" s="133"/>
      <c r="F418" s="133"/>
      <c r="G418" s="134"/>
      <c r="H418" s="133"/>
      <c r="I418" s="133"/>
      <c r="J418" s="133"/>
      <c r="K418" s="135"/>
      <c r="L418" s="128"/>
      <c r="M418" s="133"/>
      <c r="N418" s="128"/>
      <c r="O418" s="133"/>
      <c r="P418" s="131"/>
      <c r="Q418" s="133"/>
      <c r="R418" s="54"/>
      <c r="S418" s="134"/>
      <c r="T418" s="133"/>
      <c r="U418" s="149"/>
      <c r="V418" s="134"/>
      <c r="W418" s="136"/>
      <c r="X418" s="136"/>
      <c r="Y418" s="134"/>
      <c r="Z418" s="136"/>
      <c r="AA418" s="128"/>
      <c r="AB418" s="134"/>
      <c r="AC418" s="133"/>
      <c r="AD418" s="133"/>
      <c r="AE418" s="128"/>
      <c r="AF418" s="133"/>
    </row>
    <row r="419" spans="1:32" ht="12.75" customHeight="1" hidden="1">
      <c r="A419" s="133"/>
      <c r="B419" s="133"/>
      <c r="C419" s="132"/>
      <c r="D419" s="133"/>
      <c r="E419" s="133"/>
      <c r="F419" s="133"/>
      <c r="G419" s="134"/>
      <c r="H419" s="133"/>
      <c r="I419" s="133"/>
      <c r="J419" s="133"/>
      <c r="K419" s="135"/>
      <c r="L419" s="128"/>
      <c r="M419" s="133"/>
      <c r="N419" s="128"/>
      <c r="O419" s="133"/>
      <c r="P419" s="131"/>
      <c r="Q419" s="133"/>
      <c r="R419" s="54"/>
      <c r="S419" s="134"/>
      <c r="T419" s="133"/>
      <c r="U419" s="149"/>
      <c r="V419" s="134"/>
      <c r="W419" s="136"/>
      <c r="X419" s="136"/>
      <c r="Y419" s="134"/>
      <c r="Z419" s="136"/>
      <c r="AA419" s="128"/>
      <c r="AB419" s="134"/>
      <c r="AC419" s="133"/>
      <c r="AD419" s="133"/>
      <c r="AE419" s="128"/>
      <c r="AF419" s="133"/>
    </row>
    <row r="420" spans="1:32" ht="12.75" customHeight="1" hidden="1">
      <c r="A420" s="133"/>
      <c r="B420" s="133"/>
      <c r="C420" s="132"/>
      <c r="D420" s="133"/>
      <c r="E420" s="133"/>
      <c r="F420" s="133"/>
      <c r="G420" s="134"/>
      <c r="H420" s="133"/>
      <c r="I420" s="133"/>
      <c r="J420" s="133"/>
      <c r="K420" s="135"/>
      <c r="L420" s="128"/>
      <c r="M420" s="133"/>
      <c r="N420" s="128"/>
      <c r="O420" s="133"/>
      <c r="P420" s="131"/>
      <c r="Q420" s="133"/>
      <c r="R420" s="54"/>
      <c r="S420" s="134"/>
      <c r="T420" s="133"/>
      <c r="U420" s="149"/>
      <c r="V420" s="134"/>
      <c r="W420" s="136"/>
      <c r="X420" s="136"/>
      <c r="Y420" s="134"/>
      <c r="Z420" s="136"/>
      <c r="AA420" s="128"/>
      <c r="AB420" s="134"/>
      <c r="AC420" s="133"/>
      <c r="AD420" s="133"/>
      <c r="AE420" s="128"/>
      <c r="AF420" s="133"/>
    </row>
    <row r="421" spans="1:32" ht="12.75" customHeight="1" hidden="1">
      <c r="A421" s="133"/>
      <c r="B421" s="133"/>
      <c r="C421" s="132"/>
      <c r="D421" s="133"/>
      <c r="E421" s="133"/>
      <c r="F421" s="133"/>
      <c r="G421" s="134"/>
      <c r="H421" s="133"/>
      <c r="I421" s="133"/>
      <c r="J421" s="133"/>
      <c r="K421" s="135"/>
      <c r="L421" s="128"/>
      <c r="M421" s="133"/>
      <c r="N421" s="128"/>
      <c r="O421" s="133"/>
      <c r="P421" s="131"/>
      <c r="Q421" s="133"/>
      <c r="R421" s="54"/>
      <c r="S421" s="134"/>
      <c r="T421" s="133"/>
      <c r="U421" s="149"/>
      <c r="V421" s="134"/>
      <c r="W421" s="136"/>
      <c r="X421" s="136"/>
      <c r="Y421" s="134"/>
      <c r="Z421" s="136"/>
      <c r="AA421" s="128"/>
      <c r="AB421" s="134"/>
      <c r="AC421" s="133"/>
      <c r="AD421" s="133"/>
      <c r="AE421" s="128"/>
      <c r="AF421" s="133"/>
    </row>
    <row r="422" spans="1:32" ht="12.75" customHeight="1" hidden="1">
      <c r="A422" s="133"/>
      <c r="B422" s="133"/>
      <c r="C422" s="132"/>
      <c r="D422" s="133"/>
      <c r="E422" s="133"/>
      <c r="F422" s="133"/>
      <c r="G422" s="134"/>
      <c r="H422" s="133"/>
      <c r="I422" s="133"/>
      <c r="J422" s="133"/>
      <c r="K422" s="135"/>
      <c r="L422" s="128"/>
      <c r="M422" s="133"/>
      <c r="N422" s="128"/>
      <c r="O422" s="133"/>
      <c r="P422" s="131"/>
      <c r="Q422" s="133"/>
      <c r="R422" s="54"/>
      <c r="S422" s="134"/>
      <c r="T422" s="133"/>
      <c r="U422" s="149"/>
      <c r="V422" s="134"/>
      <c r="W422" s="136"/>
      <c r="X422" s="136"/>
      <c r="Y422" s="134"/>
      <c r="Z422" s="136"/>
      <c r="AA422" s="128"/>
      <c r="AB422" s="134"/>
      <c r="AC422" s="133"/>
      <c r="AD422" s="133"/>
      <c r="AE422" s="128"/>
      <c r="AF422" s="133"/>
    </row>
    <row r="423" spans="1:32" ht="12.75" customHeight="1" hidden="1">
      <c r="A423" s="133"/>
      <c r="B423" s="133"/>
      <c r="C423" s="132"/>
      <c r="D423" s="133"/>
      <c r="E423" s="133"/>
      <c r="F423" s="133"/>
      <c r="G423" s="134"/>
      <c r="H423" s="133"/>
      <c r="I423" s="133"/>
      <c r="J423" s="133"/>
      <c r="K423" s="135"/>
      <c r="L423" s="128"/>
      <c r="M423" s="133"/>
      <c r="N423" s="128"/>
      <c r="O423" s="133"/>
      <c r="P423" s="131"/>
      <c r="Q423" s="133"/>
      <c r="R423" s="54"/>
      <c r="S423" s="134"/>
      <c r="T423" s="133"/>
      <c r="U423" s="149"/>
      <c r="V423" s="134"/>
      <c r="W423" s="136"/>
      <c r="X423" s="136"/>
      <c r="Y423" s="134"/>
      <c r="Z423" s="136"/>
      <c r="AA423" s="128"/>
      <c r="AB423" s="134"/>
      <c r="AC423" s="133"/>
      <c r="AD423" s="133"/>
      <c r="AE423" s="128"/>
      <c r="AF423" s="133"/>
    </row>
    <row r="424" spans="1:32" ht="12.75" customHeight="1" hidden="1">
      <c r="A424" s="133"/>
      <c r="B424" s="133"/>
      <c r="C424" s="132"/>
      <c r="D424" s="133"/>
      <c r="E424" s="133"/>
      <c r="F424" s="133"/>
      <c r="G424" s="134"/>
      <c r="H424" s="133"/>
      <c r="I424" s="133"/>
      <c r="J424" s="133"/>
      <c r="K424" s="135"/>
      <c r="L424" s="128"/>
      <c r="M424" s="133"/>
      <c r="N424" s="128"/>
      <c r="O424" s="133"/>
      <c r="P424" s="131"/>
      <c r="Q424" s="133"/>
      <c r="R424" s="54"/>
      <c r="S424" s="134"/>
      <c r="T424" s="133"/>
      <c r="U424" s="149"/>
      <c r="V424" s="134"/>
      <c r="W424" s="136"/>
      <c r="X424" s="136"/>
      <c r="Y424" s="134"/>
      <c r="Z424" s="136"/>
      <c r="AA424" s="128"/>
      <c r="AB424" s="134"/>
      <c r="AC424" s="133"/>
      <c r="AD424" s="133"/>
      <c r="AE424" s="128"/>
      <c r="AF424" s="133"/>
    </row>
    <row r="425" spans="1:32" ht="12.75" customHeight="1" hidden="1">
      <c r="A425" s="133"/>
      <c r="B425" s="133"/>
      <c r="C425" s="132"/>
      <c r="D425" s="133"/>
      <c r="E425" s="133"/>
      <c r="F425" s="133"/>
      <c r="G425" s="134"/>
      <c r="H425" s="133"/>
      <c r="I425" s="133"/>
      <c r="J425" s="133"/>
      <c r="K425" s="135"/>
      <c r="L425" s="128"/>
      <c r="M425" s="133"/>
      <c r="N425" s="128"/>
      <c r="O425" s="133"/>
      <c r="P425" s="131"/>
      <c r="Q425" s="133"/>
      <c r="R425" s="54"/>
      <c r="S425" s="134"/>
      <c r="T425" s="133"/>
      <c r="U425" s="149"/>
      <c r="V425" s="134"/>
      <c r="W425" s="136"/>
      <c r="X425" s="136"/>
      <c r="Y425" s="134"/>
      <c r="Z425" s="136"/>
      <c r="AA425" s="128"/>
      <c r="AB425" s="134"/>
      <c r="AC425" s="133"/>
      <c r="AD425" s="133"/>
      <c r="AE425" s="128"/>
      <c r="AF425" s="133"/>
    </row>
    <row r="426" spans="1:32" ht="12.75" customHeight="1" hidden="1">
      <c r="A426" s="133"/>
      <c r="B426" s="133"/>
      <c r="C426" s="132"/>
      <c r="D426" s="133"/>
      <c r="E426" s="133"/>
      <c r="F426" s="133"/>
      <c r="G426" s="134"/>
      <c r="H426" s="133"/>
      <c r="I426" s="133"/>
      <c r="J426" s="133"/>
      <c r="K426" s="135"/>
      <c r="L426" s="128"/>
      <c r="M426" s="133"/>
      <c r="N426" s="128"/>
      <c r="O426" s="133"/>
      <c r="P426" s="131"/>
      <c r="Q426" s="133"/>
      <c r="R426" s="54"/>
      <c r="S426" s="134"/>
      <c r="T426" s="133"/>
      <c r="U426" s="149"/>
      <c r="V426" s="134"/>
      <c r="W426" s="136"/>
      <c r="X426" s="136"/>
      <c r="Y426" s="134"/>
      <c r="Z426" s="136"/>
      <c r="AA426" s="128"/>
      <c r="AB426" s="134"/>
      <c r="AC426" s="133"/>
      <c r="AD426" s="133"/>
      <c r="AE426" s="128"/>
      <c r="AF426" s="133"/>
    </row>
    <row r="427" spans="1:32" ht="12.75" customHeight="1" hidden="1">
      <c r="A427" s="133"/>
      <c r="B427" s="133"/>
      <c r="C427" s="132"/>
      <c r="D427" s="133"/>
      <c r="E427" s="133"/>
      <c r="F427" s="133"/>
      <c r="G427" s="134"/>
      <c r="H427" s="133"/>
      <c r="I427" s="133"/>
      <c r="J427" s="133"/>
      <c r="K427" s="135"/>
      <c r="L427" s="128"/>
      <c r="M427" s="133"/>
      <c r="N427" s="128"/>
      <c r="O427" s="133"/>
      <c r="P427" s="131"/>
      <c r="Q427" s="133"/>
      <c r="R427" s="54"/>
      <c r="S427" s="134"/>
      <c r="T427" s="133"/>
      <c r="U427" s="149"/>
      <c r="V427" s="134"/>
      <c r="W427" s="136"/>
      <c r="X427" s="136"/>
      <c r="Y427" s="134"/>
      <c r="Z427" s="136"/>
      <c r="AA427" s="128"/>
      <c r="AB427" s="134"/>
      <c r="AC427" s="133"/>
      <c r="AD427" s="133"/>
      <c r="AE427" s="128"/>
      <c r="AF427" s="133"/>
    </row>
    <row r="428" spans="1:32" ht="12.75" customHeight="1" hidden="1">
      <c r="A428" s="133"/>
      <c r="B428" s="133"/>
      <c r="C428" s="132"/>
      <c r="D428" s="133"/>
      <c r="E428" s="133"/>
      <c r="F428" s="133"/>
      <c r="G428" s="134"/>
      <c r="H428" s="133"/>
      <c r="I428" s="133"/>
      <c r="J428" s="133"/>
      <c r="K428" s="135"/>
      <c r="L428" s="128"/>
      <c r="M428" s="133"/>
      <c r="N428" s="128"/>
      <c r="O428" s="133"/>
      <c r="P428" s="131"/>
      <c r="Q428" s="133"/>
      <c r="R428" s="54"/>
      <c r="S428" s="134"/>
      <c r="T428" s="133"/>
      <c r="U428" s="149"/>
      <c r="V428" s="134"/>
      <c r="W428" s="136"/>
      <c r="X428" s="136"/>
      <c r="Y428" s="134"/>
      <c r="Z428" s="136"/>
      <c r="AA428" s="128"/>
      <c r="AB428" s="134"/>
      <c r="AC428" s="133"/>
      <c r="AD428" s="133"/>
      <c r="AE428" s="128"/>
      <c r="AF428" s="133"/>
    </row>
    <row r="429" spans="1:32" ht="12.75" customHeight="1" hidden="1">
      <c r="A429" s="133"/>
      <c r="B429" s="133"/>
      <c r="C429" s="132"/>
      <c r="D429" s="133"/>
      <c r="E429" s="133"/>
      <c r="F429" s="133"/>
      <c r="G429" s="134"/>
      <c r="H429" s="133"/>
      <c r="I429" s="133"/>
      <c r="J429" s="133"/>
      <c r="K429" s="135"/>
      <c r="L429" s="128"/>
      <c r="M429" s="133"/>
      <c r="N429" s="128"/>
      <c r="O429" s="133"/>
      <c r="P429" s="131"/>
      <c r="Q429" s="133"/>
      <c r="R429" s="54"/>
      <c r="S429" s="134"/>
      <c r="T429" s="133"/>
      <c r="U429" s="149"/>
      <c r="V429" s="134"/>
      <c r="W429" s="136"/>
      <c r="X429" s="136"/>
      <c r="Y429" s="134"/>
      <c r="Z429" s="136"/>
      <c r="AA429" s="128"/>
      <c r="AB429" s="134"/>
      <c r="AC429" s="133"/>
      <c r="AD429" s="133"/>
      <c r="AE429" s="128"/>
      <c r="AF429" s="133"/>
    </row>
    <row r="430" spans="1:32" ht="12.75" customHeight="1" hidden="1">
      <c r="A430" s="133"/>
      <c r="B430" s="133"/>
      <c r="C430" s="132"/>
      <c r="D430" s="133"/>
      <c r="E430" s="133"/>
      <c r="F430" s="133"/>
      <c r="G430" s="134"/>
      <c r="H430" s="133"/>
      <c r="I430" s="133"/>
      <c r="J430" s="133"/>
      <c r="K430" s="135"/>
      <c r="L430" s="128"/>
      <c r="M430" s="133"/>
      <c r="N430" s="128"/>
      <c r="O430" s="133"/>
      <c r="P430" s="131"/>
      <c r="Q430" s="133"/>
      <c r="R430" s="54"/>
      <c r="S430" s="134"/>
      <c r="T430" s="133"/>
      <c r="U430" s="149"/>
      <c r="V430" s="134"/>
      <c r="W430" s="136"/>
      <c r="X430" s="136"/>
      <c r="Y430" s="134"/>
      <c r="Z430" s="136"/>
      <c r="AA430" s="128"/>
      <c r="AB430" s="134"/>
      <c r="AC430" s="133"/>
      <c r="AD430" s="133"/>
      <c r="AE430" s="128"/>
      <c r="AF430" s="133"/>
    </row>
    <row r="431" spans="1:32" ht="12.75" customHeight="1" hidden="1">
      <c r="A431" s="133"/>
      <c r="B431" s="133"/>
      <c r="C431" s="132"/>
      <c r="D431" s="133"/>
      <c r="E431" s="133"/>
      <c r="F431" s="133"/>
      <c r="G431" s="134"/>
      <c r="H431" s="133"/>
      <c r="I431" s="133"/>
      <c r="J431" s="133"/>
      <c r="K431" s="135"/>
      <c r="L431" s="128"/>
      <c r="M431" s="133"/>
      <c r="N431" s="128"/>
      <c r="O431" s="133"/>
      <c r="P431" s="131"/>
      <c r="Q431" s="133"/>
      <c r="R431" s="54"/>
      <c r="S431" s="134"/>
      <c r="T431" s="133"/>
      <c r="U431" s="149"/>
      <c r="V431" s="134"/>
      <c r="W431" s="136"/>
      <c r="X431" s="136"/>
      <c r="Y431" s="134"/>
      <c r="Z431" s="136"/>
      <c r="AA431" s="128"/>
      <c r="AB431" s="134"/>
      <c r="AC431" s="133"/>
      <c r="AD431" s="133"/>
      <c r="AE431" s="128"/>
      <c r="AF431" s="133"/>
    </row>
    <row r="432" spans="1:32" ht="12.75" customHeight="1" hidden="1">
      <c r="A432" s="133"/>
      <c r="B432" s="133"/>
      <c r="C432" s="132"/>
      <c r="D432" s="133"/>
      <c r="E432" s="133"/>
      <c r="F432" s="133"/>
      <c r="G432" s="134"/>
      <c r="H432" s="133"/>
      <c r="I432" s="133"/>
      <c r="J432" s="133"/>
      <c r="K432" s="135"/>
      <c r="L432" s="128"/>
      <c r="M432" s="133"/>
      <c r="N432" s="128"/>
      <c r="O432" s="133"/>
      <c r="P432" s="131"/>
      <c r="Q432" s="133"/>
      <c r="R432" s="54"/>
      <c r="S432" s="134"/>
      <c r="T432" s="133"/>
      <c r="U432" s="149"/>
      <c r="V432" s="134"/>
      <c r="W432" s="136"/>
      <c r="X432" s="136"/>
      <c r="Y432" s="134"/>
      <c r="Z432" s="136"/>
      <c r="AA432" s="128"/>
      <c r="AB432" s="134"/>
      <c r="AC432" s="133"/>
      <c r="AD432" s="133"/>
      <c r="AE432" s="128"/>
      <c r="AF432" s="133"/>
    </row>
    <row r="433" spans="1:32" ht="12.75" customHeight="1" hidden="1">
      <c r="A433" s="133"/>
      <c r="B433" s="133"/>
      <c r="C433" s="132"/>
      <c r="D433" s="133"/>
      <c r="E433" s="133"/>
      <c r="F433" s="133"/>
      <c r="G433" s="134"/>
      <c r="H433" s="133"/>
      <c r="I433" s="133"/>
      <c r="J433" s="133"/>
      <c r="K433" s="135"/>
      <c r="L433" s="128"/>
      <c r="M433" s="133"/>
      <c r="N433" s="128"/>
      <c r="O433" s="133"/>
      <c r="P433" s="131"/>
      <c r="Q433" s="133"/>
      <c r="R433" s="54"/>
      <c r="S433" s="134"/>
      <c r="T433" s="133"/>
      <c r="U433" s="149"/>
      <c r="V433" s="134"/>
      <c r="W433" s="136"/>
      <c r="X433" s="136"/>
      <c r="Y433" s="134"/>
      <c r="Z433" s="136"/>
      <c r="AA433" s="128"/>
      <c r="AB433" s="134"/>
      <c r="AC433" s="133"/>
      <c r="AD433" s="133"/>
      <c r="AE433" s="128"/>
      <c r="AF433" s="133"/>
    </row>
    <row r="434" spans="1:32" ht="12.75" customHeight="1" hidden="1">
      <c r="A434" s="133"/>
      <c r="B434" s="133"/>
      <c r="C434" s="132"/>
      <c r="D434" s="133"/>
      <c r="E434" s="133"/>
      <c r="F434" s="133"/>
      <c r="G434" s="134"/>
      <c r="H434" s="133"/>
      <c r="I434" s="133"/>
      <c r="J434" s="133"/>
      <c r="K434" s="135"/>
      <c r="L434" s="128"/>
      <c r="M434" s="133"/>
      <c r="N434" s="128"/>
      <c r="O434" s="133"/>
      <c r="P434" s="131"/>
      <c r="Q434" s="133"/>
      <c r="R434" s="54"/>
      <c r="S434" s="134"/>
      <c r="T434" s="133"/>
      <c r="U434" s="149"/>
      <c r="V434" s="134"/>
      <c r="W434" s="136"/>
      <c r="X434" s="136"/>
      <c r="Y434" s="134"/>
      <c r="Z434" s="136"/>
      <c r="AA434" s="128"/>
      <c r="AB434" s="134"/>
      <c r="AC434" s="133"/>
      <c r="AD434" s="133"/>
      <c r="AE434" s="128"/>
      <c r="AF434" s="133"/>
    </row>
    <row r="435" spans="1:32" ht="12.75" customHeight="1" hidden="1">
      <c r="A435" s="133"/>
      <c r="B435" s="133"/>
      <c r="C435" s="132"/>
      <c r="D435" s="133"/>
      <c r="E435" s="133"/>
      <c r="F435" s="133"/>
      <c r="G435" s="134"/>
      <c r="H435" s="133"/>
      <c r="I435" s="133"/>
      <c r="J435" s="133"/>
      <c r="K435" s="135"/>
      <c r="L435" s="128"/>
      <c r="M435" s="133"/>
      <c r="N435" s="128"/>
      <c r="O435" s="133"/>
      <c r="P435" s="131"/>
      <c r="Q435" s="133"/>
      <c r="R435" s="54"/>
      <c r="S435" s="134"/>
      <c r="T435" s="133"/>
      <c r="U435" s="149"/>
      <c r="V435" s="134"/>
      <c r="W435" s="136"/>
      <c r="X435" s="136"/>
      <c r="Y435" s="134"/>
      <c r="Z435" s="136"/>
      <c r="AA435" s="128"/>
      <c r="AB435" s="134"/>
      <c r="AC435" s="133"/>
      <c r="AD435" s="133"/>
      <c r="AE435" s="128"/>
      <c r="AF435" s="133"/>
    </row>
    <row r="436" spans="1:32" ht="12.75" customHeight="1" hidden="1">
      <c r="A436" s="133"/>
      <c r="B436" s="133"/>
      <c r="C436" s="132"/>
      <c r="D436" s="133"/>
      <c r="E436" s="133"/>
      <c r="F436" s="133"/>
      <c r="G436" s="134"/>
      <c r="H436" s="133"/>
      <c r="I436" s="133"/>
      <c r="J436" s="133"/>
      <c r="K436" s="135"/>
      <c r="L436" s="128"/>
      <c r="M436" s="133"/>
      <c r="N436" s="128"/>
      <c r="O436" s="133"/>
      <c r="P436" s="131"/>
      <c r="Q436" s="133"/>
      <c r="R436" s="54"/>
      <c r="S436" s="134"/>
      <c r="T436" s="133"/>
      <c r="U436" s="149"/>
      <c r="V436" s="134"/>
      <c r="W436" s="136"/>
      <c r="X436" s="136"/>
      <c r="Y436" s="134"/>
      <c r="Z436" s="136"/>
      <c r="AA436" s="128"/>
      <c r="AB436" s="134"/>
      <c r="AC436" s="133"/>
      <c r="AD436" s="133"/>
      <c r="AE436" s="128"/>
      <c r="AF436" s="133"/>
    </row>
    <row r="437" spans="1:32" ht="12.75" customHeight="1" hidden="1">
      <c r="A437" s="133"/>
      <c r="B437" s="133"/>
      <c r="C437" s="132"/>
      <c r="D437" s="133"/>
      <c r="E437" s="133"/>
      <c r="F437" s="133"/>
      <c r="G437" s="134"/>
      <c r="H437" s="133"/>
      <c r="I437" s="133"/>
      <c r="J437" s="133"/>
      <c r="K437" s="135"/>
      <c r="L437" s="128"/>
      <c r="M437" s="133"/>
      <c r="N437" s="128"/>
      <c r="O437" s="133"/>
      <c r="P437" s="131"/>
      <c r="Q437" s="133"/>
      <c r="R437" s="54"/>
      <c r="S437" s="134"/>
      <c r="T437" s="133"/>
      <c r="U437" s="149"/>
      <c r="V437" s="134"/>
      <c r="W437" s="136"/>
      <c r="X437" s="136"/>
      <c r="Y437" s="134"/>
      <c r="Z437" s="136"/>
      <c r="AA437" s="128"/>
      <c r="AB437" s="134"/>
      <c r="AC437" s="133"/>
      <c r="AD437" s="133"/>
      <c r="AE437" s="128"/>
      <c r="AF437" s="133"/>
    </row>
    <row r="438" spans="1:32" ht="12.75" customHeight="1" hidden="1">
      <c r="A438" s="133"/>
      <c r="B438" s="133"/>
      <c r="C438" s="132"/>
      <c r="D438" s="133"/>
      <c r="E438" s="133"/>
      <c r="F438" s="133"/>
      <c r="G438" s="134"/>
      <c r="H438" s="133"/>
      <c r="I438" s="133"/>
      <c r="J438" s="133"/>
      <c r="K438" s="135"/>
      <c r="L438" s="128"/>
      <c r="M438" s="133"/>
      <c r="N438" s="128"/>
      <c r="O438" s="133"/>
      <c r="P438" s="131"/>
      <c r="Q438" s="133"/>
      <c r="R438" s="54"/>
      <c r="S438" s="134"/>
      <c r="T438" s="133"/>
      <c r="U438" s="149"/>
      <c r="V438" s="134"/>
      <c r="W438" s="136"/>
      <c r="X438" s="136"/>
      <c r="Y438" s="134"/>
      <c r="Z438" s="136"/>
      <c r="AA438" s="128"/>
      <c r="AB438" s="134"/>
      <c r="AC438" s="133"/>
      <c r="AD438" s="133"/>
      <c r="AE438" s="128"/>
      <c r="AF438" s="133"/>
    </row>
    <row r="439" spans="1:32" ht="12.75" customHeight="1" hidden="1">
      <c r="A439" s="133"/>
      <c r="B439" s="133"/>
      <c r="C439" s="132"/>
      <c r="D439" s="133"/>
      <c r="E439" s="133"/>
      <c r="F439" s="133"/>
      <c r="G439" s="134"/>
      <c r="H439" s="133"/>
      <c r="I439" s="133"/>
      <c r="J439" s="133"/>
      <c r="K439" s="135"/>
      <c r="L439" s="128"/>
      <c r="M439" s="133"/>
      <c r="N439" s="128"/>
      <c r="O439" s="133"/>
      <c r="P439" s="131"/>
      <c r="Q439" s="133"/>
      <c r="R439" s="54"/>
      <c r="S439" s="134"/>
      <c r="T439" s="133"/>
      <c r="U439" s="149"/>
      <c r="V439" s="134"/>
      <c r="W439" s="136"/>
      <c r="X439" s="136"/>
      <c r="Y439" s="134"/>
      <c r="Z439" s="136"/>
      <c r="AA439" s="128"/>
      <c r="AB439" s="134"/>
      <c r="AC439" s="133"/>
      <c r="AD439" s="133"/>
      <c r="AE439" s="128"/>
      <c r="AF439" s="133"/>
    </row>
    <row r="440" spans="1:32" ht="12.75" customHeight="1" hidden="1">
      <c r="A440" s="133"/>
      <c r="B440" s="133"/>
      <c r="C440" s="132"/>
      <c r="D440" s="133"/>
      <c r="E440" s="133"/>
      <c r="F440" s="133"/>
      <c r="G440" s="134"/>
      <c r="H440" s="133"/>
      <c r="I440" s="133"/>
      <c r="J440" s="133"/>
      <c r="K440" s="135"/>
      <c r="L440" s="128"/>
      <c r="M440" s="133"/>
      <c r="N440" s="128"/>
      <c r="O440" s="133"/>
      <c r="P440" s="131"/>
      <c r="Q440" s="133"/>
      <c r="R440" s="54"/>
      <c r="S440" s="134"/>
      <c r="T440" s="133"/>
      <c r="U440" s="149"/>
      <c r="V440" s="134"/>
      <c r="W440" s="136"/>
      <c r="X440" s="136"/>
      <c r="Y440" s="134"/>
      <c r="Z440" s="136"/>
      <c r="AA440" s="128"/>
      <c r="AB440" s="134"/>
      <c r="AC440" s="133"/>
      <c r="AD440" s="133"/>
      <c r="AE440" s="128"/>
      <c r="AF440" s="133"/>
    </row>
    <row r="441" spans="1:32" ht="12.75" customHeight="1" hidden="1">
      <c r="A441" s="133"/>
      <c r="B441" s="133"/>
      <c r="C441" s="132"/>
      <c r="D441" s="133"/>
      <c r="E441" s="133"/>
      <c r="F441" s="133"/>
      <c r="G441" s="134"/>
      <c r="H441" s="133"/>
      <c r="I441" s="133"/>
      <c r="J441" s="133"/>
      <c r="K441" s="135"/>
      <c r="L441" s="128"/>
      <c r="M441" s="133"/>
      <c r="N441" s="128"/>
      <c r="O441" s="133"/>
      <c r="P441" s="131"/>
      <c r="Q441" s="133"/>
      <c r="R441" s="54"/>
      <c r="S441" s="134"/>
      <c r="T441" s="133"/>
      <c r="U441" s="149"/>
      <c r="V441" s="134"/>
      <c r="W441" s="136"/>
      <c r="X441" s="136"/>
      <c r="Y441" s="134"/>
      <c r="Z441" s="136"/>
      <c r="AA441" s="128"/>
      <c r="AB441" s="134"/>
      <c r="AC441" s="133"/>
      <c r="AD441" s="133"/>
      <c r="AE441" s="128"/>
      <c r="AF441" s="133"/>
    </row>
    <row r="442" spans="1:32" ht="12.75" customHeight="1" hidden="1">
      <c r="A442" s="133"/>
      <c r="B442" s="133"/>
      <c r="C442" s="132"/>
      <c r="D442" s="133"/>
      <c r="E442" s="133"/>
      <c r="F442" s="133"/>
      <c r="G442" s="134"/>
      <c r="H442" s="133"/>
      <c r="I442" s="133"/>
      <c r="J442" s="133"/>
      <c r="K442" s="135"/>
      <c r="L442" s="128"/>
      <c r="M442" s="133"/>
      <c r="N442" s="128"/>
      <c r="O442" s="133"/>
      <c r="P442" s="131"/>
      <c r="Q442" s="133"/>
      <c r="R442" s="54"/>
      <c r="S442" s="134"/>
      <c r="T442" s="133"/>
      <c r="U442" s="149"/>
      <c r="V442" s="134"/>
      <c r="W442" s="136"/>
      <c r="X442" s="136"/>
      <c r="Y442" s="134"/>
      <c r="Z442" s="136"/>
      <c r="AA442" s="128"/>
      <c r="AB442" s="134"/>
      <c r="AC442" s="133"/>
      <c r="AD442" s="133"/>
      <c r="AE442" s="128"/>
      <c r="AF442" s="133"/>
    </row>
    <row r="443" spans="1:32" ht="12.75" customHeight="1" hidden="1">
      <c r="A443" s="133"/>
      <c r="B443" s="133"/>
      <c r="C443" s="132"/>
      <c r="D443" s="133"/>
      <c r="E443" s="133"/>
      <c r="F443" s="133"/>
      <c r="G443" s="134"/>
      <c r="H443" s="133"/>
      <c r="I443" s="133"/>
      <c r="J443" s="133"/>
      <c r="K443" s="135"/>
      <c r="L443" s="128"/>
      <c r="M443" s="133"/>
      <c r="N443" s="128"/>
      <c r="O443" s="133"/>
      <c r="P443" s="131"/>
      <c r="Q443" s="133"/>
      <c r="R443" s="54"/>
      <c r="S443" s="134"/>
      <c r="T443" s="133"/>
      <c r="U443" s="149"/>
      <c r="V443" s="134"/>
      <c r="W443" s="136"/>
      <c r="X443" s="136"/>
      <c r="Y443" s="134"/>
      <c r="Z443" s="136"/>
      <c r="AA443" s="128"/>
      <c r="AB443" s="134"/>
      <c r="AC443" s="133"/>
      <c r="AD443" s="133"/>
      <c r="AE443" s="128"/>
      <c r="AF443" s="133"/>
    </row>
    <row r="444" spans="1:32" ht="12.75" customHeight="1" hidden="1">
      <c r="A444" s="133"/>
      <c r="B444" s="133"/>
      <c r="C444" s="132"/>
      <c r="D444" s="133"/>
      <c r="E444" s="133"/>
      <c r="F444" s="133"/>
      <c r="G444" s="134"/>
      <c r="H444" s="133"/>
      <c r="I444" s="133"/>
      <c r="J444" s="133"/>
      <c r="K444" s="135"/>
      <c r="L444" s="128"/>
      <c r="M444" s="133"/>
      <c r="N444" s="128"/>
      <c r="O444" s="133"/>
      <c r="P444" s="131"/>
      <c r="Q444" s="133"/>
      <c r="R444" s="54"/>
      <c r="S444" s="134"/>
      <c r="T444" s="133"/>
      <c r="U444" s="149"/>
      <c r="V444" s="134"/>
      <c r="W444" s="136"/>
      <c r="X444" s="136"/>
      <c r="Y444" s="134"/>
      <c r="Z444" s="136"/>
      <c r="AA444" s="128"/>
      <c r="AB444" s="134"/>
      <c r="AC444" s="133"/>
      <c r="AD444" s="133"/>
      <c r="AE444" s="128"/>
      <c r="AF444" s="133"/>
    </row>
    <row r="445" spans="1:32" ht="12.75" customHeight="1" hidden="1">
      <c r="A445" s="133"/>
      <c r="B445" s="133"/>
      <c r="C445" s="132"/>
      <c r="D445" s="133"/>
      <c r="E445" s="133"/>
      <c r="F445" s="133"/>
      <c r="G445" s="134"/>
      <c r="H445" s="133"/>
      <c r="I445" s="133"/>
      <c r="J445" s="133"/>
      <c r="K445" s="135"/>
      <c r="L445" s="128"/>
      <c r="M445" s="133"/>
      <c r="N445" s="128"/>
      <c r="O445" s="133"/>
      <c r="P445" s="131"/>
      <c r="Q445" s="133"/>
      <c r="R445" s="54"/>
      <c r="S445" s="134"/>
      <c r="T445" s="133"/>
      <c r="U445" s="149"/>
      <c r="V445" s="134"/>
      <c r="W445" s="136"/>
      <c r="X445" s="136"/>
      <c r="Y445" s="134"/>
      <c r="Z445" s="136"/>
      <c r="AA445" s="128"/>
      <c r="AB445" s="134"/>
      <c r="AC445" s="133"/>
      <c r="AD445" s="133"/>
      <c r="AE445" s="128"/>
      <c r="AF445" s="133"/>
    </row>
    <row r="446" spans="1:32" ht="12.75" customHeight="1" hidden="1">
      <c r="A446" s="133"/>
      <c r="B446" s="133"/>
      <c r="C446" s="132"/>
      <c r="D446" s="133"/>
      <c r="E446" s="133"/>
      <c r="F446" s="133"/>
      <c r="G446" s="134"/>
      <c r="H446" s="133"/>
      <c r="I446" s="133"/>
      <c r="J446" s="133"/>
      <c r="K446" s="135"/>
      <c r="L446" s="128"/>
      <c r="M446" s="133"/>
      <c r="N446" s="128"/>
      <c r="O446" s="133"/>
      <c r="P446" s="131"/>
      <c r="Q446" s="133"/>
      <c r="R446" s="54"/>
      <c r="S446" s="134"/>
      <c r="T446" s="133"/>
      <c r="U446" s="149"/>
      <c r="V446" s="134"/>
      <c r="W446" s="136"/>
      <c r="X446" s="136"/>
      <c r="Y446" s="134"/>
      <c r="Z446" s="136"/>
      <c r="AA446" s="128"/>
      <c r="AB446" s="134"/>
      <c r="AC446" s="133"/>
      <c r="AD446" s="133"/>
      <c r="AE446" s="128"/>
      <c r="AF446" s="133"/>
    </row>
    <row r="447" spans="1:32" ht="12.75" customHeight="1" hidden="1">
      <c r="A447" s="133"/>
      <c r="B447" s="133"/>
      <c r="C447" s="132"/>
      <c r="D447" s="133"/>
      <c r="E447" s="133"/>
      <c r="F447" s="133"/>
      <c r="G447" s="134"/>
      <c r="H447" s="133"/>
      <c r="I447" s="133"/>
      <c r="J447" s="133"/>
      <c r="K447" s="135"/>
      <c r="L447" s="128"/>
      <c r="M447" s="133"/>
      <c r="N447" s="128"/>
      <c r="O447" s="133"/>
      <c r="P447" s="131"/>
      <c r="Q447" s="133"/>
      <c r="R447" s="54"/>
      <c r="S447" s="134"/>
      <c r="T447" s="133"/>
      <c r="U447" s="149"/>
      <c r="V447" s="134"/>
      <c r="W447" s="136"/>
      <c r="X447" s="136"/>
      <c r="Y447" s="134"/>
      <c r="Z447" s="136"/>
      <c r="AA447" s="128"/>
      <c r="AB447" s="134"/>
      <c r="AC447" s="133"/>
      <c r="AD447" s="133"/>
      <c r="AE447" s="128"/>
      <c r="AF447" s="133"/>
    </row>
    <row r="448" spans="1:32" ht="12.75" customHeight="1" hidden="1">
      <c r="A448" s="133"/>
      <c r="B448" s="133"/>
      <c r="C448" s="132"/>
      <c r="D448" s="133"/>
      <c r="E448" s="133"/>
      <c r="F448" s="133"/>
      <c r="G448" s="134"/>
      <c r="H448" s="133"/>
      <c r="I448" s="133"/>
      <c r="J448" s="133"/>
      <c r="K448" s="135"/>
      <c r="L448" s="128"/>
      <c r="M448" s="133"/>
      <c r="N448" s="128"/>
      <c r="O448" s="133"/>
      <c r="P448" s="131"/>
      <c r="Q448" s="133"/>
      <c r="R448" s="54"/>
      <c r="S448" s="134"/>
      <c r="T448" s="133"/>
      <c r="U448" s="149"/>
      <c r="V448" s="134"/>
      <c r="W448" s="136"/>
      <c r="X448" s="136"/>
      <c r="Y448" s="134"/>
      <c r="Z448" s="136"/>
      <c r="AA448" s="128"/>
      <c r="AB448" s="134"/>
      <c r="AC448" s="133"/>
      <c r="AD448" s="133"/>
      <c r="AE448" s="128"/>
      <c r="AF448" s="133"/>
    </row>
    <row r="449" spans="1:32" ht="12.75" customHeight="1" hidden="1">
      <c r="A449" s="133"/>
      <c r="B449" s="133"/>
      <c r="C449" s="132"/>
      <c r="D449" s="133"/>
      <c r="E449" s="133"/>
      <c r="F449" s="133"/>
      <c r="G449" s="134"/>
      <c r="H449" s="133"/>
      <c r="I449" s="133"/>
      <c r="J449" s="133"/>
      <c r="K449" s="135"/>
      <c r="L449" s="128"/>
      <c r="M449" s="133"/>
      <c r="N449" s="128"/>
      <c r="O449" s="133"/>
      <c r="P449" s="131"/>
      <c r="Q449" s="133"/>
      <c r="R449" s="54"/>
      <c r="S449" s="134"/>
      <c r="T449" s="133"/>
      <c r="U449" s="149"/>
      <c r="V449" s="134"/>
      <c r="W449" s="136"/>
      <c r="X449" s="136"/>
      <c r="Y449" s="134"/>
      <c r="Z449" s="136"/>
      <c r="AA449" s="128"/>
      <c r="AB449" s="134"/>
      <c r="AC449" s="133"/>
      <c r="AD449" s="133"/>
      <c r="AE449" s="128"/>
      <c r="AF449" s="133"/>
    </row>
    <row r="450" spans="1:32" ht="12.75" customHeight="1" hidden="1">
      <c r="A450" s="133"/>
      <c r="B450" s="133"/>
      <c r="C450" s="132"/>
      <c r="D450" s="133"/>
      <c r="E450" s="133"/>
      <c r="F450" s="133"/>
      <c r="G450" s="134"/>
      <c r="H450" s="133"/>
      <c r="I450" s="133"/>
      <c r="J450" s="133"/>
      <c r="K450" s="135"/>
      <c r="L450" s="128"/>
      <c r="M450" s="133"/>
      <c r="N450" s="128"/>
      <c r="O450" s="133"/>
      <c r="P450" s="131"/>
      <c r="Q450" s="133"/>
      <c r="R450" s="54"/>
      <c r="S450" s="134"/>
      <c r="T450" s="133"/>
      <c r="U450" s="149"/>
      <c r="V450" s="134"/>
      <c r="W450" s="136"/>
      <c r="X450" s="136"/>
      <c r="Y450" s="134"/>
      <c r="Z450" s="136"/>
      <c r="AA450" s="128"/>
      <c r="AB450" s="134"/>
      <c r="AC450" s="133"/>
      <c r="AD450" s="133"/>
      <c r="AE450" s="128"/>
      <c r="AF450" s="133"/>
    </row>
    <row r="451" spans="1:32" ht="12.75" customHeight="1" hidden="1">
      <c r="A451" s="133"/>
      <c r="B451" s="133"/>
      <c r="C451" s="132"/>
      <c r="D451" s="133"/>
      <c r="E451" s="133"/>
      <c r="F451" s="133"/>
      <c r="G451" s="134"/>
      <c r="H451" s="133"/>
      <c r="I451" s="133"/>
      <c r="J451" s="133"/>
      <c r="K451" s="135"/>
      <c r="L451" s="128"/>
      <c r="M451" s="133"/>
      <c r="N451" s="128"/>
      <c r="O451" s="133"/>
      <c r="P451" s="131"/>
      <c r="Q451" s="133"/>
      <c r="R451" s="54"/>
      <c r="S451" s="134"/>
      <c r="T451" s="133"/>
      <c r="U451" s="149"/>
      <c r="V451" s="134"/>
      <c r="W451" s="136"/>
      <c r="X451" s="136"/>
      <c r="Y451" s="134"/>
      <c r="Z451" s="136"/>
      <c r="AA451" s="128"/>
      <c r="AB451" s="134"/>
      <c r="AC451" s="133"/>
      <c r="AD451" s="133"/>
      <c r="AE451" s="128"/>
      <c r="AF451" s="133"/>
    </row>
    <row r="452" spans="1:32" ht="12.75" customHeight="1" hidden="1">
      <c r="A452" s="133"/>
      <c r="B452" s="133"/>
      <c r="C452" s="132"/>
      <c r="D452" s="133"/>
      <c r="E452" s="133"/>
      <c r="F452" s="133"/>
      <c r="G452" s="134"/>
      <c r="H452" s="133"/>
      <c r="I452" s="133"/>
      <c r="J452" s="133"/>
      <c r="K452" s="135"/>
      <c r="L452" s="128"/>
      <c r="M452" s="133"/>
      <c r="N452" s="128"/>
      <c r="O452" s="133"/>
      <c r="P452" s="131"/>
      <c r="Q452" s="133"/>
      <c r="R452" s="54"/>
      <c r="S452" s="134"/>
      <c r="T452" s="133"/>
      <c r="U452" s="149"/>
      <c r="V452" s="134"/>
      <c r="W452" s="136"/>
      <c r="X452" s="136"/>
      <c r="Y452" s="134"/>
      <c r="Z452" s="136"/>
      <c r="AA452" s="128"/>
      <c r="AB452" s="134"/>
      <c r="AC452" s="133"/>
      <c r="AD452" s="133"/>
      <c r="AE452" s="128"/>
      <c r="AF452" s="133"/>
    </row>
    <row r="453" spans="1:32" ht="12.75" customHeight="1" hidden="1">
      <c r="A453" s="133"/>
      <c r="B453" s="133"/>
      <c r="C453" s="132"/>
      <c r="D453" s="133"/>
      <c r="E453" s="133"/>
      <c r="F453" s="133"/>
      <c r="G453" s="134"/>
      <c r="H453" s="133"/>
      <c r="I453" s="133"/>
      <c r="J453" s="133"/>
      <c r="K453" s="135"/>
      <c r="L453" s="128"/>
      <c r="M453" s="133"/>
      <c r="N453" s="128"/>
      <c r="O453" s="133"/>
      <c r="P453" s="131"/>
      <c r="Q453" s="133"/>
      <c r="R453" s="54"/>
      <c r="S453" s="134"/>
      <c r="T453" s="133"/>
      <c r="U453" s="149"/>
      <c r="V453" s="134"/>
      <c r="W453" s="136"/>
      <c r="X453" s="136"/>
      <c r="Y453" s="134"/>
      <c r="Z453" s="136"/>
      <c r="AA453" s="128"/>
      <c r="AB453" s="134"/>
      <c r="AC453" s="133"/>
      <c r="AD453" s="133"/>
      <c r="AE453" s="128"/>
      <c r="AF453" s="133"/>
    </row>
    <row r="454" spans="1:32" ht="12.75" customHeight="1" hidden="1">
      <c r="A454" s="133"/>
      <c r="B454" s="133"/>
      <c r="C454" s="132"/>
      <c r="D454" s="133"/>
      <c r="E454" s="133"/>
      <c r="F454" s="133"/>
      <c r="G454" s="134"/>
      <c r="H454" s="133"/>
      <c r="I454" s="133"/>
      <c r="J454" s="133"/>
      <c r="K454" s="135"/>
      <c r="L454" s="128"/>
      <c r="M454" s="133"/>
      <c r="N454" s="128"/>
      <c r="O454" s="133"/>
      <c r="P454" s="131"/>
      <c r="Q454" s="133"/>
      <c r="R454" s="54"/>
      <c r="S454" s="134"/>
      <c r="T454" s="133"/>
      <c r="U454" s="149"/>
      <c r="V454" s="134"/>
      <c r="W454" s="136"/>
      <c r="X454" s="136"/>
      <c r="Y454" s="134"/>
      <c r="Z454" s="136"/>
      <c r="AA454" s="128"/>
      <c r="AB454" s="134"/>
      <c r="AC454" s="133"/>
      <c r="AD454" s="133"/>
      <c r="AE454" s="128"/>
      <c r="AF454" s="133"/>
    </row>
    <row r="455" spans="1:32" ht="12.75" customHeight="1" hidden="1">
      <c r="A455" s="133"/>
      <c r="B455" s="133"/>
      <c r="C455" s="132"/>
      <c r="D455" s="133"/>
      <c r="E455" s="133"/>
      <c r="F455" s="133"/>
      <c r="G455" s="134"/>
      <c r="H455" s="133"/>
      <c r="I455" s="133"/>
      <c r="J455" s="133"/>
      <c r="K455" s="135"/>
      <c r="L455" s="128"/>
      <c r="M455" s="133"/>
      <c r="N455" s="128"/>
      <c r="O455" s="133"/>
      <c r="P455" s="131"/>
      <c r="Q455" s="133"/>
      <c r="R455" s="54"/>
      <c r="S455" s="134"/>
      <c r="T455" s="133"/>
      <c r="U455" s="149"/>
      <c r="V455" s="134"/>
      <c r="W455" s="136"/>
      <c r="X455" s="136"/>
      <c r="Y455" s="134"/>
      <c r="Z455" s="136"/>
      <c r="AA455" s="128"/>
      <c r="AB455" s="134"/>
      <c r="AC455" s="133"/>
      <c r="AD455" s="133"/>
      <c r="AE455" s="128"/>
      <c r="AF455" s="133"/>
    </row>
    <row r="456" spans="1:32" ht="12.75" customHeight="1" hidden="1">
      <c r="A456" s="133"/>
      <c r="B456" s="133"/>
      <c r="C456" s="132"/>
      <c r="D456" s="133"/>
      <c r="E456" s="133"/>
      <c r="F456" s="133"/>
      <c r="G456" s="134"/>
      <c r="H456" s="133"/>
      <c r="I456" s="133"/>
      <c r="J456" s="133"/>
      <c r="K456" s="135"/>
      <c r="L456" s="128"/>
      <c r="M456" s="133"/>
      <c r="N456" s="128"/>
      <c r="O456" s="133"/>
      <c r="P456" s="131"/>
      <c r="Q456" s="133"/>
      <c r="R456" s="54"/>
      <c r="S456" s="134"/>
      <c r="T456" s="133"/>
      <c r="U456" s="149"/>
      <c r="V456" s="134"/>
      <c r="W456" s="136"/>
      <c r="X456" s="136"/>
      <c r="Y456" s="134"/>
      <c r="Z456" s="136"/>
      <c r="AA456" s="128"/>
      <c r="AB456" s="134"/>
      <c r="AC456" s="133"/>
      <c r="AD456" s="133"/>
      <c r="AE456" s="128"/>
      <c r="AF456" s="133"/>
    </row>
    <row r="457" spans="1:32" ht="12.75" customHeight="1" hidden="1">
      <c r="A457" s="133"/>
      <c r="B457" s="133"/>
      <c r="C457" s="132"/>
      <c r="D457" s="133"/>
      <c r="E457" s="133"/>
      <c r="F457" s="133"/>
      <c r="G457" s="134"/>
      <c r="H457" s="133"/>
      <c r="I457" s="133"/>
      <c r="J457" s="133"/>
      <c r="K457" s="135"/>
      <c r="L457" s="128"/>
      <c r="M457" s="133"/>
      <c r="N457" s="128"/>
      <c r="O457" s="133"/>
      <c r="P457" s="131"/>
      <c r="Q457" s="133"/>
      <c r="R457" s="54"/>
      <c r="S457" s="134"/>
      <c r="T457" s="133"/>
      <c r="U457" s="149"/>
      <c r="V457" s="134"/>
      <c r="W457" s="136"/>
      <c r="X457" s="136"/>
      <c r="Y457" s="134"/>
      <c r="Z457" s="136"/>
      <c r="AA457" s="128"/>
      <c r="AB457" s="134"/>
      <c r="AC457" s="133"/>
      <c r="AD457" s="133"/>
      <c r="AE457" s="128"/>
      <c r="AF457" s="133"/>
    </row>
    <row r="458" spans="1:32" ht="12.75" customHeight="1" hidden="1">
      <c r="A458" s="133"/>
      <c r="B458" s="133"/>
      <c r="C458" s="132"/>
      <c r="D458" s="133"/>
      <c r="E458" s="133"/>
      <c r="F458" s="133"/>
      <c r="G458" s="134"/>
      <c r="H458" s="133"/>
      <c r="I458" s="133"/>
      <c r="J458" s="133"/>
      <c r="K458" s="135"/>
      <c r="L458" s="128"/>
      <c r="M458" s="133"/>
      <c r="N458" s="128"/>
      <c r="O458" s="133"/>
      <c r="P458" s="131"/>
      <c r="Q458" s="133"/>
      <c r="R458" s="54"/>
      <c r="S458" s="134"/>
      <c r="T458" s="133"/>
      <c r="U458" s="149"/>
      <c r="V458" s="134"/>
      <c r="W458" s="136"/>
      <c r="X458" s="136"/>
      <c r="Y458" s="134"/>
      <c r="Z458" s="136"/>
      <c r="AA458" s="128"/>
      <c r="AB458" s="134"/>
      <c r="AC458" s="133"/>
      <c r="AD458" s="133"/>
      <c r="AE458" s="128"/>
      <c r="AF458" s="133"/>
    </row>
    <row r="459" spans="1:32" ht="12.75" customHeight="1" hidden="1">
      <c r="A459" s="133"/>
      <c r="B459" s="133"/>
      <c r="C459" s="132"/>
      <c r="D459" s="133"/>
      <c r="E459" s="133"/>
      <c r="F459" s="133"/>
      <c r="G459" s="134"/>
      <c r="H459" s="133"/>
      <c r="I459" s="133"/>
      <c r="J459" s="133"/>
      <c r="K459" s="135"/>
      <c r="L459" s="128"/>
      <c r="M459" s="133"/>
      <c r="N459" s="128"/>
      <c r="O459" s="133"/>
      <c r="P459" s="131"/>
      <c r="Q459" s="133"/>
      <c r="R459" s="54"/>
      <c r="S459" s="134"/>
      <c r="T459" s="133"/>
      <c r="U459" s="149"/>
      <c r="V459" s="134"/>
      <c r="W459" s="136"/>
      <c r="X459" s="136"/>
      <c r="Y459" s="134"/>
      <c r="Z459" s="136"/>
      <c r="AA459" s="128"/>
      <c r="AB459" s="134"/>
      <c r="AC459" s="133"/>
      <c r="AD459" s="133"/>
      <c r="AE459" s="128"/>
      <c r="AF459" s="133"/>
    </row>
    <row r="460" spans="1:32" ht="12.75" customHeight="1" hidden="1">
      <c r="A460" s="133"/>
      <c r="B460" s="133"/>
      <c r="C460" s="132"/>
      <c r="D460" s="133"/>
      <c r="E460" s="133"/>
      <c r="F460" s="133"/>
      <c r="G460" s="134"/>
      <c r="H460" s="133"/>
      <c r="I460" s="133"/>
      <c r="J460" s="133"/>
      <c r="K460" s="135"/>
      <c r="L460" s="128"/>
      <c r="M460" s="133"/>
      <c r="N460" s="128"/>
      <c r="O460" s="133"/>
      <c r="P460" s="131"/>
      <c r="Q460" s="133"/>
      <c r="R460" s="54"/>
      <c r="S460" s="134"/>
      <c r="T460" s="133"/>
      <c r="U460" s="149"/>
      <c r="V460" s="134"/>
      <c r="W460" s="136"/>
      <c r="X460" s="136"/>
      <c r="Y460" s="134"/>
      <c r="Z460" s="136"/>
      <c r="AA460" s="128"/>
      <c r="AB460" s="134"/>
      <c r="AC460" s="133"/>
      <c r="AD460" s="133"/>
      <c r="AE460" s="128"/>
      <c r="AF460" s="133"/>
    </row>
    <row r="461" spans="1:32" ht="12.75" customHeight="1" hidden="1">
      <c r="A461" s="133"/>
      <c r="B461" s="133"/>
      <c r="C461" s="132"/>
      <c r="D461" s="133"/>
      <c r="E461" s="133"/>
      <c r="F461" s="133"/>
      <c r="G461" s="134"/>
      <c r="H461" s="133"/>
      <c r="I461" s="133"/>
      <c r="J461" s="133"/>
      <c r="K461" s="135"/>
      <c r="L461" s="128"/>
      <c r="M461" s="133"/>
      <c r="N461" s="128"/>
      <c r="O461" s="133"/>
      <c r="P461" s="131"/>
      <c r="Q461" s="133"/>
      <c r="R461" s="54"/>
      <c r="S461" s="134"/>
      <c r="T461" s="133"/>
      <c r="U461" s="149"/>
      <c r="V461" s="134"/>
      <c r="W461" s="136"/>
      <c r="X461" s="136"/>
      <c r="Y461" s="134"/>
      <c r="Z461" s="136"/>
      <c r="AA461" s="128"/>
      <c r="AB461" s="134"/>
      <c r="AC461" s="133"/>
      <c r="AD461" s="133"/>
      <c r="AE461" s="128"/>
      <c r="AF461" s="133"/>
    </row>
    <row r="462" spans="1:32" ht="12.75" customHeight="1" hidden="1">
      <c r="A462" s="133"/>
      <c r="B462" s="133"/>
      <c r="C462" s="132"/>
      <c r="D462" s="133"/>
      <c r="E462" s="133"/>
      <c r="F462" s="133"/>
      <c r="G462" s="134"/>
      <c r="H462" s="133"/>
      <c r="I462" s="133"/>
      <c r="J462" s="133"/>
      <c r="K462" s="135"/>
      <c r="L462" s="128"/>
      <c r="M462" s="133"/>
      <c r="N462" s="128"/>
      <c r="O462" s="133"/>
      <c r="P462" s="131"/>
      <c r="Q462" s="133"/>
      <c r="R462" s="54"/>
      <c r="S462" s="134"/>
      <c r="T462" s="133"/>
      <c r="U462" s="149"/>
      <c r="V462" s="134"/>
      <c r="W462" s="136"/>
      <c r="X462" s="136"/>
      <c r="Y462" s="134"/>
      <c r="Z462" s="136"/>
      <c r="AA462" s="128"/>
      <c r="AB462" s="134"/>
      <c r="AC462" s="133"/>
      <c r="AD462" s="133"/>
      <c r="AE462" s="128"/>
      <c r="AF462" s="133"/>
    </row>
    <row r="463" spans="1:32" ht="12.75" customHeight="1" hidden="1">
      <c r="A463" s="133"/>
      <c r="B463" s="133"/>
      <c r="C463" s="132"/>
      <c r="D463" s="133"/>
      <c r="E463" s="133"/>
      <c r="F463" s="133"/>
      <c r="G463" s="134"/>
      <c r="H463" s="133"/>
      <c r="I463" s="133"/>
      <c r="J463" s="133"/>
      <c r="K463" s="135"/>
      <c r="L463" s="128"/>
      <c r="M463" s="133"/>
      <c r="N463" s="128"/>
      <c r="O463" s="133"/>
      <c r="P463" s="131"/>
      <c r="Q463" s="133"/>
      <c r="R463" s="54"/>
      <c r="S463" s="134"/>
      <c r="T463" s="133"/>
      <c r="U463" s="149"/>
      <c r="V463" s="134"/>
      <c r="W463" s="136"/>
      <c r="X463" s="136"/>
      <c r="Y463" s="134"/>
      <c r="Z463" s="136"/>
      <c r="AA463" s="128"/>
      <c r="AB463" s="134"/>
      <c r="AC463" s="133"/>
      <c r="AD463" s="133"/>
      <c r="AE463" s="128"/>
      <c r="AF463" s="133"/>
    </row>
    <row r="464" spans="1:32" ht="12.75" customHeight="1" hidden="1">
      <c r="A464" s="133"/>
      <c r="B464" s="133"/>
      <c r="C464" s="132"/>
      <c r="D464" s="133"/>
      <c r="E464" s="133"/>
      <c r="F464" s="133"/>
      <c r="G464" s="134"/>
      <c r="H464" s="133"/>
      <c r="I464" s="133"/>
      <c r="J464" s="133"/>
      <c r="K464" s="135"/>
      <c r="L464" s="128"/>
      <c r="M464" s="133"/>
      <c r="N464" s="128"/>
      <c r="O464" s="133"/>
      <c r="P464" s="131"/>
      <c r="Q464" s="133"/>
      <c r="R464" s="54"/>
      <c r="S464" s="134"/>
      <c r="T464" s="133"/>
      <c r="U464" s="149"/>
      <c r="V464" s="134"/>
      <c r="W464" s="136"/>
      <c r="X464" s="136"/>
      <c r="Y464" s="134"/>
      <c r="Z464" s="136"/>
      <c r="AA464" s="128"/>
      <c r="AB464" s="134"/>
      <c r="AC464" s="133"/>
      <c r="AD464" s="133"/>
      <c r="AE464" s="128"/>
      <c r="AF464" s="133"/>
    </row>
    <row r="465" spans="1:32" ht="12.75" customHeight="1" hidden="1">
      <c r="A465" s="133"/>
      <c r="B465" s="133"/>
      <c r="C465" s="132"/>
      <c r="D465" s="133"/>
      <c r="E465" s="133"/>
      <c r="F465" s="133"/>
      <c r="G465" s="134"/>
      <c r="H465" s="133"/>
      <c r="I465" s="133"/>
      <c r="J465" s="133"/>
      <c r="K465" s="135"/>
      <c r="L465" s="128"/>
      <c r="M465" s="133"/>
      <c r="N465" s="128"/>
      <c r="O465" s="133"/>
      <c r="P465" s="131"/>
      <c r="Q465" s="133"/>
      <c r="R465" s="54"/>
      <c r="S465" s="134"/>
      <c r="T465" s="133"/>
      <c r="U465" s="149"/>
      <c r="V465" s="134"/>
      <c r="W465" s="136"/>
      <c r="X465" s="136"/>
      <c r="Y465" s="134"/>
      <c r="Z465" s="136"/>
      <c r="AA465" s="128"/>
      <c r="AB465" s="134"/>
      <c r="AC465" s="133"/>
      <c r="AD465" s="133"/>
      <c r="AE465" s="128"/>
      <c r="AF465" s="133"/>
    </row>
    <row r="466" spans="1:32" ht="12.75" customHeight="1" hidden="1">
      <c r="A466" s="133"/>
      <c r="B466" s="133"/>
      <c r="C466" s="132"/>
      <c r="D466" s="133"/>
      <c r="E466" s="133"/>
      <c r="F466" s="133"/>
      <c r="G466" s="134"/>
      <c r="H466" s="133"/>
      <c r="I466" s="133"/>
      <c r="J466" s="133"/>
      <c r="K466" s="135"/>
      <c r="L466" s="128"/>
      <c r="M466" s="133"/>
      <c r="N466" s="128"/>
      <c r="O466" s="133"/>
      <c r="P466" s="131"/>
      <c r="Q466" s="133"/>
      <c r="R466" s="54"/>
      <c r="S466" s="134"/>
      <c r="T466" s="133"/>
      <c r="U466" s="149"/>
      <c r="V466" s="134"/>
      <c r="W466" s="136"/>
      <c r="X466" s="136"/>
      <c r="Y466" s="134"/>
      <c r="Z466" s="136"/>
      <c r="AA466" s="128"/>
      <c r="AB466" s="134"/>
      <c r="AC466" s="133"/>
      <c r="AD466" s="133"/>
      <c r="AE466" s="128"/>
      <c r="AF466" s="133"/>
    </row>
    <row r="467" spans="1:32" ht="12.75" customHeight="1" hidden="1">
      <c r="A467" s="133"/>
      <c r="B467" s="133"/>
      <c r="C467" s="132"/>
      <c r="D467" s="133"/>
      <c r="E467" s="133"/>
      <c r="F467" s="133"/>
      <c r="G467" s="134"/>
      <c r="H467" s="133"/>
      <c r="I467" s="133"/>
      <c r="J467" s="133"/>
      <c r="K467" s="135"/>
      <c r="L467" s="128"/>
      <c r="M467" s="133"/>
      <c r="N467" s="128"/>
      <c r="O467" s="133"/>
      <c r="P467" s="131"/>
      <c r="Q467" s="133"/>
      <c r="R467" s="54"/>
      <c r="S467" s="134"/>
      <c r="T467" s="133"/>
      <c r="U467" s="149"/>
      <c r="V467" s="134"/>
      <c r="W467" s="136"/>
      <c r="X467" s="136"/>
      <c r="Y467" s="134"/>
      <c r="Z467" s="136"/>
      <c r="AA467" s="128"/>
      <c r="AB467" s="134"/>
      <c r="AC467" s="133"/>
      <c r="AD467" s="133"/>
      <c r="AE467" s="128"/>
      <c r="AF467" s="133"/>
    </row>
    <row r="468" spans="1:32" ht="12.75" customHeight="1" hidden="1">
      <c r="A468" s="133"/>
      <c r="B468" s="133"/>
      <c r="C468" s="132"/>
      <c r="D468" s="133"/>
      <c r="E468" s="133"/>
      <c r="F468" s="133"/>
      <c r="G468" s="134"/>
      <c r="H468" s="133"/>
      <c r="I468" s="133"/>
      <c r="J468" s="133"/>
      <c r="K468" s="135"/>
      <c r="L468" s="128"/>
      <c r="M468" s="133"/>
      <c r="N468" s="128"/>
      <c r="O468" s="133"/>
      <c r="P468" s="131"/>
      <c r="Q468" s="133"/>
      <c r="R468" s="54"/>
      <c r="S468" s="134"/>
      <c r="T468" s="133"/>
      <c r="U468" s="149"/>
      <c r="V468" s="134"/>
      <c r="W468" s="136"/>
      <c r="X468" s="136"/>
      <c r="Y468" s="134"/>
      <c r="Z468" s="136"/>
      <c r="AA468" s="128"/>
      <c r="AB468" s="134"/>
      <c r="AC468" s="133"/>
      <c r="AD468" s="133"/>
      <c r="AE468" s="128"/>
      <c r="AF468" s="133"/>
    </row>
    <row r="469" spans="1:32" ht="12.75" customHeight="1" hidden="1">
      <c r="A469" s="133"/>
      <c r="B469" s="133"/>
      <c r="C469" s="132"/>
      <c r="D469" s="133"/>
      <c r="E469" s="133"/>
      <c r="F469" s="133"/>
      <c r="G469" s="134"/>
      <c r="H469" s="133"/>
      <c r="I469" s="133"/>
      <c r="J469" s="133"/>
      <c r="K469" s="135"/>
      <c r="L469" s="128"/>
      <c r="M469" s="133"/>
      <c r="N469" s="128"/>
      <c r="O469" s="133"/>
      <c r="P469" s="131"/>
      <c r="Q469" s="133"/>
      <c r="R469" s="54"/>
      <c r="S469" s="134"/>
      <c r="T469" s="133"/>
      <c r="U469" s="149"/>
      <c r="V469" s="134"/>
      <c r="W469" s="136"/>
      <c r="X469" s="136"/>
      <c r="Y469" s="134"/>
      <c r="Z469" s="136"/>
      <c r="AA469" s="128"/>
      <c r="AB469" s="134"/>
      <c r="AC469" s="133"/>
      <c r="AD469" s="133"/>
      <c r="AE469" s="128"/>
      <c r="AF469" s="133"/>
    </row>
    <row r="470" spans="1:32" ht="12.75" customHeight="1" hidden="1">
      <c r="A470" s="133"/>
      <c r="B470" s="133"/>
      <c r="C470" s="132"/>
      <c r="D470" s="133"/>
      <c r="E470" s="133"/>
      <c r="F470" s="133"/>
      <c r="G470" s="134"/>
      <c r="H470" s="133"/>
      <c r="I470" s="133"/>
      <c r="J470" s="133"/>
      <c r="K470" s="135"/>
      <c r="L470" s="128"/>
      <c r="M470" s="133"/>
      <c r="N470" s="128"/>
      <c r="O470" s="133"/>
      <c r="P470" s="131"/>
      <c r="Q470" s="133"/>
      <c r="R470" s="54"/>
      <c r="S470" s="134"/>
      <c r="T470" s="133"/>
      <c r="U470" s="149"/>
      <c r="V470" s="134"/>
      <c r="W470" s="136"/>
      <c r="X470" s="136"/>
      <c r="Y470" s="134"/>
      <c r="Z470" s="136"/>
      <c r="AA470" s="128"/>
      <c r="AB470" s="134"/>
      <c r="AC470" s="133"/>
      <c r="AD470" s="133"/>
      <c r="AE470" s="128"/>
      <c r="AF470" s="133"/>
    </row>
    <row r="471" spans="1:32" ht="12.75" customHeight="1" hidden="1">
      <c r="A471" s="133"/>
      <c r="B471" s="133"/>
      <c r="C471" s="132"/>
      <c r="D471" s="133"/>
      <c r="E471" s="133"/>
      <c r="F471" s="133"/>
      <c r="G471" s="134"/>
      <c r="H471" s="133"/>
      <c r="I471" s="133"/>
      <c r="J471" s="133"/>
      <c r="K471" s="135"/>
      <c r="L471" s="128"/>
      <c r="M471" s="133"/>
      <c r="N471" s="128"/>
      <c r="O471" s="133"/>
      <c r="P471" s="131"/>
      <c r="Q471" s="133"/>
      <c r="R471" s="54"/>
      <c r="S471" s="134"/>
      <c r="T471" s="133"/>
      <c r="U471" s="149"/>
      <c r="V471" s="134"/>
      <c r="W471" s="136"/>
      <c r="X471" s="136"/>
      <c r="Y471" s="134"/>
      <c r="Z471" s="136"/>
      <c r="AA471" s="128"/>
      <c r="AB471" s="134"/>
      <c r="AC471" s="133"/>
      <c r="AD471" s="133"/>
      <c r="AE471" s="128"/>
      <c r="AF471" s="133"/>
    </row>
    <row r="472" spans="1:32" ht="12.75" customHeight="1" hidden="1">
      <c r="A472" s="133"/>
      <c r="B472" s="133"/>
      <c r="C472" s="132"/>
      <c r="D472" s="133"/>
      <c r="E472" s="133"/>
      <c r="F472" s="133"/>
      <c r="G472" s="134"/>
      <c r="H472" s="133"/>
      <c r="I472" s="133"/>
      <c r="J472" s="133"/>
      <c r="K472" s="135"/>
      <c r="L472" s="128"/>
      <c r="M472" s="133"/>
      <c r="N472" s="128"/>
      <c r="O472" s="133"/>
      <c r="P472" s="131"/>
      <c r="Q472" s="133"/>
      <c r="R472" s="54"/>
      <c r="S472" s="134"/>
      <c r="T472" s="133"/>
      <c r="U472" s="149"/>
      <c r="V472" s="134"/>
      <c r="W472" s="136"/>
      <c r="X472" s="136"/>
      <c r="Y472" s="134"/>
      <c r="Z472" s="136"/>
      <c r="AA472" s="128"/>
      <c r="AB472" s="134"/>
      <c r="AC472" s="133"/>
      <c r="AD472" s="133"/>
      <c r="AE472" s="128"/>
      <c r="AF472" s="133"/>
    </row>
    <row r="473" spans="1:32" ht="12.75" customHeight="1" hidden="1">
      <c r="A473" s="133"/>
      <c r="B473" s="133"/>
      <c r="C473" s="132"/>
      <c r="D473" s="133"/>
      <c r="E473" s="133"/>
      <c r="F473" s="133"/>
      <c r="G473" s="134"/>
      <c r="H473" s="133"/>
      <c r="I473" s="133"/>
      <c r="J473" s="133"/>
      <c r="K473" s="135"/>
      <c r="L473" s="128"/>
      <c r="M473" s="133"/>
      <c r="N473" s="128"/>
      <c r="O473" s="133"/>
      <c r="P473" s="131"/>
      <c r="Q473" s="133"/>
      <c r="R473" s="54"/>
      <c r="S473" s="134"/>
      <c r="T473" s="133"/>
      <c r="U473" s="149"/>
      <c r="V473" s="134"/>
      <c r="W473" s="136"/>
      <c r="X473" s="136"/>
      <c r="Y473" s="134"/>
      <c r="Z473" s="136"/>
      <c r="AA473" s="128"/>
      <c r="AB473" s="134"/>
      <c r="AC473" s="133"/>
      <c r="AD473" s="133"/>
      <c r="AE473" s="128"/>
      <c r="AF473" s="133"/>
    </row>
    <row r="474" spans="1:32" ht="12.75" customHeight="1" hidden="1">
      <c r="A474" s="133"/>
      <c r="B474" s="133"/>
      <c r="C474" s="132"/>
      <c r="D474" s="133"/>
      <c r="E474" s="133"/>
      <c r="F474" s="133"/>
      <c r="G474" s="134"/>
      <c r="H474" s="133"/>
      <c r="I474" s="133"/>
      <c r="J474" s="133"/>
      <c r="K474" s="135"/>
      <c r="L474" s="128"/>
      <c r="M474" s="133"/>
      <c r="N474" s="128"/>
      <c r="O474" s="133"/>
      <c r="P474" s="131"/>
      <c r="Q474" s="133"/>
      <c r="R474" s="54"/>
      <c r="S474" s="134"/>
      <c r="T474" s="133"/>
      <c r="U474" s="149"/>
      <c r="V474" s="134"/>
      <c r="W474" s="136"/>
      <c r="X474" s="136"/>
      <c r="Y474" s="134"/>
      <c r="Z474" s="136"/>
      <c r="AA474" s="128"/>
      <c r="AB474" s="134"/>
      <c r="AC474" s="133"/>
      <c r="AD474" s="133"/>
      <c r="AE474" s="128"/>
      <c r="AF474" s="133"/>
    </row>
    <row r="475" spans="1:32" ht="12.75" customHeight="1" hidden="1">
      <c r="A475" s="133"/>
      <c r="B475" s="133"/>
      <c r="C475" s="132"/>
      <c r="D475" s="133"/>
      <c r="E475" s="133"/>
      <c r="F475" s="133"/>
      <c r="G475" s="134"/>
      <c r="H475" s="133"/>
      <c r="I475" s="133"/>
      <c r="J475" s="133"/>
      <c r="K475" s="135"/>
      <c r="L475" s="128"/>
      <c r="M475" s="133"/>
      <c r="N475" s="128"/>
      <c r="O475" s="133"/>
      <c r="P475" s="131"/>
      <c r="Q475" s="133"/>
      <c r="R475" s="54"/>
      <c r="S475" s="134"/>
      <c r="T475" s="133"/>
      <c r="U475" s="149"/>
      <c r="V475" s="134"/>
      <c r="W475" s="136"/>
      <c r="X475" s="136"/>
      <c r="Y475" s="134"/>
      <c r="Z475" s="136"/>
      <c r="AA475" s="128"/>
      <c r="AB475" s="134"/>
      <c r="AC475" s="133"/>
      <c r="AD475" s="133"/>
      <c r="AE475" s="128"/>
      <c r="AF475" s="133"/>
    </row>
    <row r="476" spans="1:32" ht="12.75" customHeight="1" hidden="1">
      <c r="A476" s="133"/>
      <c r="B476" s="133"/>
      <c r="C476" s="132"/>
      <c r="D476" s="133"/>
      <c r="E476" s="133"/>
      <c r="F476" s="133"/>
      <c r="G476" s="134"/>
      <c r="H476" s="133"/>
      <c r="I476" s="133"/>
      <c r="J476" s="133"/>
      <c r="K476" s="135"/>
      <c r="L476" s="128"/>
      <c r="M476" s="133"/>
      <c r="N476" s="128"/>
      <c r="O476" s="133"/>
      <c r="P476" s="131"/>
      <c r="Q476" s="133"/>
      <c r="R476" s="54"/>
      <c r="S476" s="134"/>
      <c r="T476" s="133"/>
      <c r="U476" s="149"/>
      <c r="V476" s="134"/>
      <c r="W476" s="136"/>
      <c r="X476" s="136"/>
      <c r="Y476" s="134"/>
      <c r="Z476" s="136"/>
      <c r="AA476" s="128"/>
      <c r="AB476" s="134"/>
      <c r="AC476" s="133"/>
      <c r="AD476" s="133"/>
      <c r="AE476" s="128"/>
      <c r="AF476" s="133"/>
    </row>
    <row r="477" spans="1:32" ht="12.75" customHeight="1" hidden="1">
      <c r="A477" s="133"/>
      <c r="B477" s="133"/>
      <c r="C477" s="132"/>
      <c r="D477" s="133"/>
      <c r="E477" s="133"/>
      <c r="F477" s="133"/>
      <c r="G477" s="134"/>
      <c r="H477" s="133"/>
      <c r="I477" s="133"/>
      <c r="J477" s="133"/>
      <c r="K477" s="135"/>
      <c r="L477" s="128"/>
      <c r="M477" s="133"/>
      <c r="N477" s="128"/>
      <c r="O477" s="133"/>
      <c r="P477" s="131"/>
      <c r="Q477" s="133"/>
      <c r="R477" s="54"/>
      <c r="S477" s="134"/>
      <c r="T477" s="133"/>
      <c r="U477" s="149"/>
      <c r="V477" s="134"/>
      <c r="W477" s="136"/>
      <c r="X477" s="136"/>
      <c r="Y477" s="134"/>
      <c r="Z477" s="136"/>
      <c r="AA477" s="128"/>
      <c r="AB477" s="134"/>
      <c r="AC477" s="133"/>
      <c r="AD477" s="133"/>
      <c r="AE477" s="128"/>
      <c r="AF477" s="133"/>
    </row>
    <row r="478" spans="1:32" ht="12.75" customHeight="1" hidden="1">
      <c r="A478" s="133"/>
      <c r="B478" s="133"/>
      <c r="C478" s="132"/>
      <c r="D478" s="133"/>
      <c r="E478" s="133"/>
      <c r="F478" s="133"/>
      <c r="G478" s="134"/>
      <c r="H478" s="133"/>
      <c r="I478" s="133"/>
      <c r="J478" s="133"/>
      <c r="K478" s="135"/>
      <c r="L478" s="128"/>
      <c r="M478" s="133"/>
      <c r="N478" s="128"/>
      <c r="O478" s="133"/>
      <c r="P478" s="131"/>
      <c r="Q478" s="133"/>
      <c r="R478" s="54"/>
      <c r="S478" s="134"/>
      <c r="T478" s="133"/>
      <c r="U478" s="149"/>
      <c r="V478" s="134"/>
      <c r="W478" s="136"/>
      <c r="X478" s="136"/>
      <c r="Y478" s="134"/>
      <c r="Z478" s="136"/>
      <c r="AA478" s="128"/>
      <c r="AB478" s="134"/>
      <c r="AC478" s="133"/>
      <c r="AD478" s="133"/>
      <c r="AE478" s="128"/>
      <c r="AF478" s="133"/>
    </row>
    <row r="479" spans="1:32" ht="12.75" customHeight="1" hidden="1">
      <c r="A479" s="133"/>
      <c r="B479" s="133"/>
      <c r="C479" s="132"/>
      <c r="D479" s="133"/>
      <c r="E479" s="133"/>
      <c r="F479" s="133"/>
      <c r="G479" s="134"/>
      <c r="H479" s="133"/>
      <c r="I479" s="133"/>
      <c r="J479" s="133"/>
      <c r="K479" s="135"/>
      <c r="L479" s="128"/>
      <c r="M479" s="133"/>
      <c r="N479" s="128"/>
      <c r="O479" s="133"/>
      <c r="P479" s="131"/>
      <c r="Q479" s="133"/>
      <c r="R479" s="54"/>
      <c r="S479" s="134"/>
      <c r="T479" s="133"/>
      <c r="U479" s="149"/>
      <c r="V479" s="134"/>
      <c r="W479" s="136"/>
      <c r="X479" s="136"/>
      <c r="Y479" s="134"/>
      <c r="Z479" s="136"/>
      <c r="AA479" s="128"/>
      <c r="AB479" s="134"/>
      <c r="AC479" s="133"/>
      <c r="AD479" s="133"/>
      <c r="AE479" s="128"/>
      <c r="AF479" s="133"/>
    </row>
    <row r="480" spans="1:32" ht="12.75" customHeight="1" hidden="1">
      <c r="A480" s="133"/>
      <c r="B480" s="133"/>
      <c r="C480" s="132"/>
      <c r="D480" s="133"/>
      <c r="E480" s="133"/>
      <c r="F480" s="133"/>
      <c r="G480" s="134"/>
      <c r="H480" s="133"/>
      <c r="I480" s="133"/>
      <c r="J480" s="133"/>
      <c r="K480" s="135"/>
      <c r="L480" s="128"/>
      <c r="M480" s="133"/>
      <c r="N480" s="128"/>
      <c r="O480" s="133"/>
      <c r="P480" s="131"/>
      <c r="Q480" s="133"/>
      <c r="R480" s="54"/>
      <c r="S480" s="134"/>
      <c r="T480" s="133"/>
      <c r="U480" s="149"/>
      <c r="V480" s="134"/>
      <c r="W480" s="136"/>
      <c r="X480" s="136"/>
      <c r="Y480" s="134"/>
      <c r="Z480" s="136"/>
      <c r="AA480" s="128"/>
      <c r="AB480" s="134"/>
      <c r="AC480" s="133"/>
      <c r="AD480" s="133"/>
      <c r="AE480" s="128"/>
      <c r="AF480" s="133"/>
    </row>
    <row r="481" spans="1:32" ht="12.75" customHeight="1" hidden="1">
      <c r="A481" s="133"/>
      <c r="B481" s="133"/>
      <c r="C481" s="132"/>
      <c r="D481" s="133"/>
      <c r="E481" s="133"/>
      <c r="F481" s="133"/>
      <c r="G481" s="134"/>
      <c r="H481" s="133"/>
      <c r="I481" s="133"/>
      <c r="J481" s="133"/>
      <c r="K481" s="135"/>
      <c r="L481" s="128"/>
      <c r="M481" s="133"/>
      <c r="N481" s="128"/>
      <c r="O481" s="133"/>
      <c r="P481" s="131"/>
      <c r="Q481" s="133"/>
      <c r="R481" s="54"/>
      <c r="S481" s="134"/>
      <c r="T481" s="133"/>
      <c r="U481" s="149"/>
      <c r="V481" s="134"/>
      <c r="W481" s="136"/>
      <c r="X481" s="136"/>
      <c r="Y481" s="134"/>
      <c r="Z481" s="136"/>
      <c r="AA481" s="128"/>
      <c r="AB481" s="134"/>
      <c r="AC481" s="133"/>
      <c r="AD481" s="133"/>
      <c r="AE481" s="128"/>
      <c r="AF481" s="133"/>
    </row>
    <row r="482" spans="1:32" ht="12.75" customHeight="1" hidden="1">
      <c r="A482" s="133"/>
      <c r="B482" s="133"/>
      <c r="C482" s="132"/>
      <c r="D482" s="133"/>
      <c r="E482" s="133"/>
      <c r="F482" s="133"/>
      <c r="G482" s="134"/>
      <c r="H482" s="133"/>
      <c r="I482" s="133"/>
      <c r="J482" s="133"/>
      <c r="K482" s="135"/>
      <c r="L482" s="128"/>
      <c r="M482" s="133"/>
      <c r="N482" s="128"/>
      <c r="O482" s="133"/>
      <c r="P482" s="131"/>
      <c r="Q482" s="133"/>
      <c r="R482" s="54"/>
      <c r="S482" s="134"/>
      <c r="T482" s="133"/>
      <c r="U482" s="149"/>
      <c r="V482" s="134"/>
      <c r="W482" s="136"/>
      <c r="X482" s="136"/>
      <c r="Y482" s="134"/>
      <c r="Z482" s="136"/>
      <c r="AA482" s="128"/>
      <c r="AB482" s="134"/>
      <c r="AC482" s="133"/>
      <c r="AD482" s="133"/>
      <c r="AE482" s="128"/>
      <c r="AF482" s="133"/>
    </row>
    <row r="483" spans="1:32" ht="12.75" customHeight="1" hidden="1">
      <c r="A483" s="133"/>
      <c r="B483" s="133"/>
      <c r="C483" s="132"/>
      <c r="D483" s="133"/>
      <c r="E483" s="133"/>
      <c r="F483" s="133"/>
      <c r="G483" s="134"/>
      <c r="H483" s="133"/>
      <c r="I483" s="133"/>
      <c r="J483" s="133"/>
      <c r="K483" s="135"/>
      <c r="L483" s="128"/>
      <c r="M483" s="133"/>
      <c r="N483" s="128"/>
      <c r="O483" s="133"/>
      <c r="P483" s="131"/>
      <c r="Q483" s="133"/>
      <c r="R483" s="54"/>
      <c r="S483" s="134"/>
      <c r="T483" s="133"/>
      <c r="U483" s="149"/>
      <c r="V483" s="134"/>
      <c r="W483" s="136"/>
      <c r="X483" s="136"/>
      <c r="Y483" s="134"/>
      <c r="Z483" s="136"/>
      <c r="AA483" s="128"/>
      <c r="AB483" s="134"/>
      <c r="AC483" s="133"/>
      <c r="AD483" s="133"/>
      <c r="AE483" s="128"/>
      <c r="AF483" s="133"/>
    </row>
    <row r="484" spans="1:32" ht="12.75" customHeight="1" hidden="1">
      <c r="A484" s="133"/>
      <c r="B484" s="133"/>
      <c r="C484" s="132"/>
      <c r="D484" s="133"/>
      <c r="E484" s="133"/>
      <c r="F484" s="133"/>
      <c r="G484" s="134"/>
      <c r="H484" s="133"/>
      <c r="I484" s="133"/>
      <c r="J484" s="133"/>
      <c r="K484" s="135"/>
      <c r="L484" s="128"/>
      <c r="M484" s="133"/>
      <c r="N484" s="128"/>
      <c r="O484" s="133"/>
      <c r="P484" s="131"/>
      <c r="Q484" s="133"/>
      <c r="R484" s="54"/>
      <c r="S484" s="134"/>
      <c r="T484" s="133"/>
      <c r="U484" s="149"/>
      <c r="V484" s="134"/>
      <c r="W484" s="136"/>
      <c r="X484" s="136"/>
      <c r="Y484" s="134"/>
      <c r="Z484" s="136"/>
      <c r="AA484" s="128"/>
      <c r="AB484" s="134"/>
      <c r="AC484" s="133"/>
      <c r="AD484" s="133"/>
      <c r="AE484" s="128"/>
      <c r="AF484" s="133"/>
    </row>
    <row r="485" spans="1:32" ht="12.75" customHeight="1" hidden="1">
      <c r="A485" s="133"/>
      <c r="B485" s="133"/>
      <c r="C485" s="132"/>
      <c r="D485" s="133"/>
      <c r="E485" s="133"/>
      <c r="F485" s="133"/>
      <c r="G485" s="134"/>
      <c r="H485" s="133"/>
      <c r="I485" s="133"/>
      <c r="J485" s="133"/>
      <c r="K485" s="135"/>
      <c r="L485" s="128"/>
      <c r="M485" s="133"/>
      <c r="N485" s="128"/>
      <c r="O485" s="133"/>
      <c r="P485" s="131"/>
      <c r="Q485" s="133"/>
      <c r="R485" s="54"/>
      <c r="S485" s="134"/>
      <c r="T485" s="133"/>
      <c r="U485" s="149"/>
      <c r="V485" s="134"/>
      <c r="W485" s="136"/>
      <c r="X485" s="136"/>
      <c r="Y485" s="134"/>
      <c r="Z485" s="136"/>
      <c r="AA485" s="128"/>
      <c r="AB485" s="134"/>
      <c r="AC485" s="133"/>
      <c r="AD485" s="133"/>
      <c r="AE485" s="128"/>
      <c r="AF485" s="133"/>
    </row>
    <row r="486" spans="1:32" ht="12.75" customHeight="1" hidden="1">
      <c r="A486" s="133"/>
      <c r="B486" s="133"/>
      <c r="C486" s="132"/>
      <c r="D486" s="133"/>
      <c r="E486" s="133"/>
      <c r="F486" s="133"/>
      <c r="G486" s="134"/>
      <c r="H486" s="133"/>
      <c r="I486" s="133"/>
      <c r="J486" s="133"/>
      <c r="K486" s="135"/>
      <c r="L486" s="128"/>
      <c r="M486" s="133"/>
      <c r="N486" s="128"/>
      <c r="O486" s="133"/>
      <c r="P486" s="131"/>
      <c r="Q486" s="133"/>
      <c r="R486" s="54"/>
      <c r="S486" s="134"/>
      <c r="T486" s="133"/>
      <c r="U486" s="149"/>
      <c r="V486" s="134"/>
      <c r="W486" s="136"/>
      <c r="X486" s="136"/>
      <c r="Y486" s="134"/>
      <c r="Z486" s="136"/>
      <c r="AA486" s="128"/>
      <c r="AB486" s="134"/>
      <c r="AC486" s="133"/>
      <c r="AD486" s="133"/>
      <c r="AE486" s="128"/>
      <c r="AF486" s="133"/>
    </row>
    <row r="487" spans="1:32" ht="12.75" customHeight="1" hidden="1">
      <c r="A487" s="133"/>
      <c r="B487" s="133"/>
      <c r="C487" s="132"/>
      <c r="D487" s="133"/>
      <c r="E487" s="133"/>
      <c r="F487" s="133"/>
      <c r="G487" s="134"/>
      <c r="H487" s="133"/>
      <c r="I487" s="133"/>
      <c r="J487" s="133"/>
      <c r="K487" s="135"/>
      <c r="L487" s="128"/>
      <c r="M487" s="133"/>
      <c r="N487" s="128"/>
      <c r="O487" s="133"/>
      <c r="P487" s="131"/>
      <c r="Q487" s="133"/>
      <c r="R487" s="54"/>
      <c r="S487" s="134"/>
      <c r="T487" s="133"/>
      <c r="U487" s="149"/>
      <c r="V487" s="134"/>
      <c r="W487" s="136"/>
      <c r="X487" s="136"/>
      <c r="Y487" s="134"/>
      <c r="Z487" s="136"/>
      <c r="AA487" s="128"/>
      <c r="AB487" s="134"/>
      <c r="AC487" s="133"/>
      <c r="AD487" s="133"/>
      <c r="AE487" s="128"/>
      <c r="AF487" s="133"/>
    </row>
    <row r="488" spans="1:32" ht="12.75" customHeight="1" hidden="1">
      <c r="A488" s="133"/>
      <c r="B488" s="133"/>
      <c r="C488" s="132"/>
      <c r="D488" s="133"/>
      <c r="E488" s="133"/>
      <c r="F488" s="133"/>
      <c r="G488" s="134"/>
      <c r="H488" s="133"/>
      <c r="I488" s="133"/>
      <c r="J488" s="133"/>
      <c r="K488" s="135"/>
      <c r="L488" s="128"/>
      <c r="M488" s="133"/>
      <c r="N488" s="128"/>
      <c r="O488" s="133"/>
      <c r="P488" s="131"/>
      <c r="Q488" s="133"/>
      <c r="R488" s="54"/>
      <c r="S488" s="134"/>
      <c r="T488" s="133"/>
      <c r="U488" s="149"/>
      <c r="V488" s="134"/>
      <c r="W488" s="136"/>
      <c r="X488" s="136"/>
      <c r="Y488" s="134"/>
      <c r="Z488" s="136"/>
      <c r="AA488" s="128"/>
      <c r="AB488" s="134"/>
      <c r="AC488" s="133"/>
      <c r="AD488" s="133"/>
      <c r="AE488" s="128"/>
      <c r="AF488" s="133"/>
    </row>
    <row r="489" spans="1:32" ht="12.75" customHeight="1" hidden="1">
      <c r="A489" s="133"/>
      <c r="B489" s="133"/>
      <c r="C489" s="132"/>
      <c r="D489" s="133"/>
      <c r="E489" s="133"/>
      <c r="F489" s="133"/>
      <c r="G489" s="134"/>
      <c r="H489" s="133"/>
      <c r="I489" s="133"/>
      <c r="J489" s="133"/>
      <c r="K489" s="135"/>
      <c r="L489" s="128"/>
      <c r="M489" s="133"/>
      <c r="N489" s="128"/>
      <c r="O489" s="133"/>
      <c r="P489" s="131"/>
      <c r="Q489" s="133"/>
      <c r="R489" s="54"/>
      <c r="S489" s="134"/>
      <c r="T489" s="133"/>
      <c r="U489" s="149"/>
      <c r="V489" s="134"/>
      <c r="W489" s="136"/>
      <c r="X489" s="136"/>
      <c r="Y489" s="134"/>
      <c r="Z489" s="136"/>
      <c r="AA489" s="128"/>
      <c r="AB489" s="134"/>
      <c r="AC489" s="133"/>
      <c r="AD489" s="133"/>
      <c r="AE489" s="128"/>
      <c r="AF489" s="133"/>
    </row>
    <row r="490" spans="1:32" ht="12.75" customHeight="1" hidden="1">
      <c r="A490" s="133"/>
      <c r="B490" s="133"/>
      <c r="C490" s="132"/>
      <c r="D490" s="133"/>
      <c r="E490" s="133"/>
      <c r="F490" s="133"/>
      <c r="G490" s="134"/>
      <c r="H490" s="133"/>
      <c r="I490" s="133"/>
      <c r="J490" s="133"/>
      <c r="K490" s="135"/>
      <c r="L490" s="128"/>
      <c r="M490" s="133"/>
      <c r="N490" s="128"/>
      <c r="O490" s="133"/>
      <c r="P490" s="131"/>
      <c r="Q490" s="133"/>
      <c r="R490" s="54"/>
      <c r="S490" s="134"/>
      <c r="T490" s="133"/>
      <c r="U490" s="149"/>
      <c r="V490" s="134"/>
      <c r="W490" s="136"/>
      <c r="X490" s="136"/>
      <c r="Y490" s="134"/>
      <c r="Z490" s="136"/>
      <c r="AA490" s="128"/>
      <c r="AB490" s="134"/>
      <c r="AC490" s="133"/>
      <c r="AD490" s="133"/>
      <c r="AE490" s="128"/>
      <c r="AF490" s="133"/>
    </row>
    <row r="491" spans="1:32" ht="12.75" customHeight="1" hidden="1">
      <c r="A491" s="133"/>
      <c r="B491" s="133"/>
      <c r="C491" s="132"/>
      <c r="D491" s="133"/>
      <c r="E491" s="133"/>
      <c r="F491" s="133"/>
      <c r="G491" s="134"/>
      <c r="H491" s="133"/>
      <c r="I491" s="133"/>
      <c r="J491" s="133"/>
      <c r="K491" s="135"/>
      <c r="L491" s="128"/>
      <c r="M491" s="133"/>
      <c r="N491" s="128"/>
      <c r="O491" s="133"/>
      <c r="P491" s="131"/>
      <c r="Q491" s="133"/>
      <c r="R491" s="54"/>
      <c r="S491" s="134"/>
      <c r="T491" s="133"/>
      <c r="U491" s="149"/>
      <c r="V491" s="134"/>
      <c r="W491" s="136"/>
      <c r="X491" s="136"/>
      <c r="Y491" s="134"/>
      <c r="Z491" s="136"/>
      <c r="AA491" s="128"/>
      <c r="AB491" s="134"/>
      <c r="AC491" s="133"/>
      <c r="AD491" s="133"/>
      <c r="AE491" s="128"/>
      <c r="AF491" s="133"/>
    </row>
    <row r="492" spans="1:32" ht="12.75" customHeight="1" hidden="1">
      <c r="A492" s="133"/>
      <c r="B492" s="133"/>
      <c r="C492" s="132"/>
      <c r="D492" s="133"/>
      <c r="E492" s="133"/>
      <c r="F492" s="133"/>
      <c r="G492" s="134"/>
      <c r="H492" s="133"/>
      <c r="I492" s="133"/>
      <c r="J492" s="133"/>
      <c r="K492" s="135"/>
      <c r="L492" s="128"/>
      <c r="M492" s="133"/>
      <c r="N492" s="128"/>
      <c r="O492" s="133"/>
      <c r="P492" s="131"/>
      <c r="Q492" s="133"/>
      <c r="R492" s="54"/>
      <c r="S492" s="134"/>
      <c r="T492" s="133"/>
      <c r="U492" s="149"/>
      <c r="V492" s="134"/>
      <c r="W492" s="136"/>
      <c r="X492" s="136"/>
      <c r="Y492" s="134"/>
      <c r="Z492" s="136"/>
      <c r="AA492" s="128"/>
      <c r="AB492" s="134"/>
      <c r="AC492" s="133"/>
      <c r="AD492" s="133"/>
      <c r="AE492" s="128"/>
      <c r="AF492" s="133"/>
    </row>
    <row r="493" spans="1:32" ht="12.75" customHeight="1" hidden="1">
      <c r="A493" s="133"/>
      <c r="B493" s="133"/>
      <c r="C493" s="132"/>
      <c r="D493" s="133"/>
      <c r="E493" s="133"/>
      <c r="F493" s="133"/>
      <c r="G493" s="134"/>
      <c r="H493" s="133"/>
      <c r="I493" s="133"/>
      <c r="J493" s="133"/>
      <c r="K493" s="135"/>
      <c r="L493" s="128"/>
      <c r="M493" s="133"/>
      <c r="N493" s="128"/>
      <c r="O493" s="133"/>
      <c r="P493" s="131"/>
      <c r="Q493" s="133"/>
      <c r="R493" s="54"/>
      <c r="S493" s="134"/>
      <c r="T493" s="133"/>
      <c r="U493" s="149"/>
      <c r="V493" s="134"/>
      <c r="W493" s="136"/>
      <c r="X493" s="136"/>
      <c r="Y493" s="134"/>
      <c r="Z493" s="136"/>
      <c r="AA493" s="128"/>
      <c r="AB493" s="134"/>
      <c r="AC493" s="133"/>
      <c r="AD493" s="133"/>
      <c r="AE493" s="128"/>
      <c r="AF493" s="133"/>
    </row>
    <row r="494" spans="1:32" ht="12.75" customHeight="1" hidden="1">
      <c r="A494" s="133"/>
      <c r="B494" s="133"/>
      <c r="C494" s="132"/>
      <c r="D494" s="133"/>
      <c r="E494" s="133"/>
      <c r="F494" s="133"/>
      <c r="G494" s="134"/>
      <c r="H494" s="133"/>
      <c r="I494" s="133"/>
      <c r="J494" s="133"/>
      <c r="K494" s="135"/>
      <c r="L494" s="128"/>
      <c r="M494" s="133"/>
      <c r="N494" s="128"/>
      <c r="O494" s="133"/>
      <c r="P494" s="131"/>
      <c r="Q494" s="133"/>
      <c r="R494" s="54"/>
      <c r="S494" s="134"/>
      <c r="T494" s="133"/>
      <c r="U494" s="149"/>
      <c r="V494" s="134"/>
      <c r="W494" s="136"/>
      <c r="X494" s="136"/>
      <c r="Y494" s="134"/>
      <c r="Z494" s="136"/>
      <c r="AA494" s="128"/>
      <c r="AB494" s="134"/>
      <c r="AC494" s="133"/>
      <c r="AD494" s="133"/>
      <c r="AE494" s="128"/>
      <c r="AF494" s="133"/>
    </row>
    <row r="495" spans="1:32" ht="12.75" customHeight="1" hidden="1">
      <c r="A495" s="133"/>
      <c r="B495" s="133"/>
      <c r="C495" s="132"/>
      <c r="D495" s="133"/>
      <c r="E495" s="133"/>
      <c r="F495" s="133"/>
      <c r="G495" s="134"/>
      <c r="H495" s="133"/>
      <c r="I495" s="133"/>
      <c r="J495" s="133"/>
      <c r="K495" s="135"/>
      <c r="L495" s="128"/>
      <c r="M495" s="133"/>
      <c r="N495" s="128"/>
      <c r="O495" s="133"/>
      <c r="P495" s="131"/>
      <c r="Q495" s="133"/>
      <c r="R495" s="54"/>
      <c r="S495" s="134"/>
      <c r="T495" s="133"/>
      <c r="U495" s="149"/>
      <c r="V495" s="134"/>
      <c r="W495" s="136"/>
      <c r="X495" s="136"/>
      <c r="Y495" s="134"/>
      <c r="Z495" s="136"/>
      <c r="AA495" s="128"/>
      <c r="AB495" s="134"/>
      <c r="AC495" s="133"/>
      <c r="AD495" s="133"/>
      <c r="AE495" s="128"/>
      <c r="AF495" s="133"/>
    </row>
    <row r="496" spans="1:32" ht="12.75" customHeight="1" hidden="1">
      <c r="A496" s="133"/>
      <c r="B496" s="133"/>
      <c r="C496" s="132"/>
      <c r="D496" s="133"/>
      <c r="E496" s="133"/>
      <c r="F496" s="133"/>
      <c r="G496" s="134"/>
      <c r="H496" s="133"/>
      <c r="I496" s="133"/>
      <c r="J496" s="133"/>
      <c r="K496" s="135"/>
      <c r="L496" s="128"/>
      <c r="M496" s="133"/>
      <c r="N496" s="128"/>
      <c r="O496" s="133"/>
      <c r="P496" s="131"/>
      <c r="Q496" s="133"/>
      <c r="R496" s="54"/>
      <c r="S496" s="134"/>
      <c r="T496" s="133"/>
      <c r="U496" s="149"/>
      <c r="V496" s="134"/>
      <c r="W496" s="136"/>
      <c r="X496" s="136"/>
      <c r="Y496" s="134"/>
      <c r="Z496" s="136"/>
      <c r="AA496" s="128"/>
      <c r="AB496" s="134"/>
      <c r="AC496" s="133"/>
      <c r="AD496" s="133"/>
      <c r="AE496" s="128"/>
      <c r="AF496" s="133"/>
    </row>
    <row r="497" spans="1:32" ht="12.75" customHeight="1" hidden="1">
      <c r="A497" s="133"/>
      <c r="B497" s="133"/>
      <c r="C497" s="132"/>
      <c r="D497" s="133"/>
      <c r="E497" s="133"/>
      <c r="F497" s="133"/>
      <c r="G497" s="134"/>
      <c r="H497" s="133"/>
      <c r="I497" s="133"/>
      <c r="J497" s="133"/>
      <c r="K497" s="135"/>
      <c r="L497" s="128"/>
      <c r="M497" s="133"/>
      <c r="N497" s="128"/>
      <c r="O497" s="133"/>
      <c r="P497" s="131"/>
      <c r="Q497" s="133"/>
      <c r="R497" s="54"/>
      <c r="S497" s="134"/>
      <c r="T497" s="133"/>
      <c r="U497" s="149"/>
      <c r="V497" s="134"/>
      <c r="W497" s="136"/>
      <c r="X497" s="136"/>
      <c r="Y497" s="134"/>
      <c r="Z497" s="136"/>
      <c r="AA497" s="128"/>
      <c r="AB497" s="134"/>
      <c r="AC497" s="133"/>
      <c r="AD497" s="133"/>
      <c r="AE497" s="128"/>
      <c r="AF497" s="133"/>
    </row>
    <row r="498" spans="1:32" ht="12.75" customHeight="1" hidden="1">
      <c r="A498" s="133"/>
      <c r="B498" s="133"/>
      <c r="C498" s="132"/>
      <c r="D498" s="133"/>
      <c r="E498" s="133"/>
      <c r="F498" s="133"/>
      <c r="G498" s="134"/>
      <c r="H498" s="133"/>
      <c r="I498" s="133"/>
      <c r="J498" s="133"/>
      <c r="K498" s="135"/>
      <c r="L498" s="128"/>
      <c r="M498" s="133"/>
      <c r="N498" s="128"/>
      <c r="O498" s="133"/>
      <c r="P498" s="131"/>
      <c r="Q498" s="133"/>
      <c r="R498" s="54"/>
      <c r="S498" s="134"/>
      <c r="T498" s="133"/>
      <c r="U498" s="149"/>
      <c r="V498" s="134"/>
      <c r="W498" s="136"/>
      <c r="X498" s="136"/>
      <c r="Y498" s="134"/>
      <c r="Z498" s="136"/>
      <c r="AA498" s="128"/>
      <c r="AB498" s="134"/>
      <c r="AC498" s="133"/>
      <c r="AD498" s="133"/>
      <c r="AE498" s="128"/>
      <c r="AF498" s="133"/>
    </row>
    <row r="499" spans="1:32" ht="12.75" customHeight="1" hidden="1">
      <c r="A499" s="133"/>
      <c r="B499" s="133"/>
      <c r="C499" s="132"/>
      <c r="D499" s="133"/>
      <c r="E499" s="133"/>
      <c r="F499" s="133"/>
      <c r="G499" s="134"/>
      <c r="H499" s="133"/>
      <c r="I499" s="133"/>
      <c r="J499" s="133"/>
      <c r="K499" s="135"/>
      <c r="L499" s="128"/>
      <c r="M499" s="133"/>
      <c r="N499" s="128"/>
      <c r="O499" s="133"/>
      <c r="P499" s="131"/>
      <c r="Q499" s="133"/>
      <c r="R499" s="54"/>
      <c r="S499" s="134"/>
      <c r="T499" s="133"/>
      <c r="U499" s="149"/>
      <c r="V499" s="134"/>
      <c r="W499" s="136"/>
      <c r="X499" s="136"/>
      <c r="Y499" s="134"/>
      <c r="Z499" s="136"/>
      <c r="AA499" s="128"/>
      <c r="AB499" s="134"/>
      <c r="AC499" s="133"/>
      <c r="AD499" s="133"/>
      <c r="AE499" s="128"/>
      <c r="AF499" s="133"/>
    </row>
    <row r="500" spans="1:32" ht="12.75" customHeight="1" hidden="1">
      <c r="A500" s="133"/>
      <c r="B500" s="133"/>
      <c r="C500" s="132"/>
      <c r="D500" s="133"/>
      <c r="E500" s="133"/>
      <c r="F500" s="133"/>
      <c r="G500" s="134"/>
      <c r="H500" s="133"/>
      <c r="I500" s="133"/>
      <c r="J500" s="133"/>
      <c r="K500" s="135"/>
      <c r="L500" s="128"/>
      <c r="M500" s="133"/>
      <c r="N500" s="128"/>
      <c r="O500" s="133"/>
      <c r="P500" s="131"/>
      <c r="Q500" s="133"/>
      <c r="R500" s="54"/>
      <c r="S500" s="134"/>
      <c r="T500" s="133"/>
      <c r="U500" s="149"/>
      <c r="V500" s="134"/>
      <c r="W500" s="136"/>
      <c r="X500" s="136"/>
      <c r="Y500" s="134"/>
      <c r="Z500" s="136"/>
      <c r="AA500" s="128"/>
      <c r="AB500" s="134"/>
      <c r="AC500" s="133"/>
      <c r="AD500" s="133"/>
      <c r="AE500" s="128"/>
      <c r="AF500" s="133"/>
    </row>
    <row r="501" spans="1:32" ht="12.75" customHeight="1" hidden="1">
      <c r="A501" s="133"/>
      <c r="B501" s="133"/>
      <c r="C501" s="132"/>
      <c r="D501" s="133"/>
      <c r="E501" s="133"/>
      <c r="F501" s="133"/>
      <c r="G501" s="134"/>
      <c r="H501" s="133"/>
      <c r="I501" s="133"/>
      <c r="J501" s="133"/>
      <c r="K501" s="135"/>
      <c r="L501" s="128"/>
      <c r="M501" s="133"/>
      <c r="N501" s="128"/>
      <c r="O501" s="133"/>
      <c r="P501" s="131"/>
      <c r="Q501" s="133"/>
      <c r="R501" s="54"/>
      <c r="S501" s="134"/>
      <c r="T501" s="133"/>
      <c r="U501" s="149"/>
      <c r="V501" s="134"/>
      <c r="W501" s="136"/>
      <c r="X501" s="136"/>
      <c r="Y501" s="134"/>
      <c r="Z501" s="136"/>
      <c r="AA501" s="128"/>
      <c r="AB501" s="134"/>
      <c r="AC501" s="133"/>
      <c r="AD501" s="133"/>
      <c r="AE501" s="128"/>
      <c r="AF501" s="133"/>
    </row>
    <row r="502" spans="1:32" ht="12.75" customHeight="1" hidden="1">
      <c r="A502" s="133"/>
      <c r="B502" s="133"/>
      <c r="C502" s="132"/>
      <c r="D502" s="133"/>
      <c r="E502" s="133"/>
      <c r="F502" s="133"/>
      <c r="G502" s="134"/>
      <c r="H502" s="133"/>
      <c r="I502" s="133"/>
      <c r="J502" s="133"/>
      <c r="K502" s="135"/>
      <c r="L502" s="128"/>
      <c r="M502" s="133"/>
      <c r="N502" s="128"/>
      <c r="O502" s="133"/>
      <c r="P502" s="131"/>
      <c r="Q502" s="133"/>
      <c r="R502" s="54"/>
      <c r="S502" s="134"/>
      <c r="T502" s="133"/>
      <c r="U502" s="149"/>
      <c r="V502" s="134"/>
      <c r="W502" s="136"/>
      <c r="X502" s="136"/>
      <c r="Y502" s="134"/>
      <c r="Z502" s="136"/>
      <c r="AA502" s="128"/>
      <c r="AB502" s="134"/>
      <c r="AC502" s="133"/>
      <c r="AD502" s="133"/>
      <c r="AE502" s="128"/>
      <c r="AF502" s="133"/>
    </row>
    <row r="503" spans="1:32" ht="12.75" customHeight="1" hidden="1">
      <c r="A503" s="133"/>
      <c r="B503" s="133"/>
      <c r="C503" s="132"/>
      <c r="D503" s="133"/>
      <c r="E503" s="133"/>
      <c r="F503" s="133"/>
      <c r="G503" s="134"/>
      <c r="H503" s="133"/>
      <c r="I503" s="133"/>
      <c r="J503" s="133"/>
      <c r="K503" s="135"/>
      <c r="L503" s="128"/>
      <c r="M503" s="133"/>
      <c r="N503" s="128"/>
      <c r="O503" s="133"/>
      <c r="P503" s="131"/>
      <c r="Q503" s="133"/>
      <c r="R503" s="54"/>
      <c r="S503" s="134"/>
      <c r="T503" s="133"/>
      <c r="U503" s="149"/>
      <c r="V503" s="134"/>
      <c r="W503" s="136"/>
      <c r="X503" s="136"/>
      <c r="Y503" s="134"/>
      <c r="Z503" s="136"/>
      <c r="AA503" s="128"/>
      <c r="AB503" s="134"/>
      <c r="AC503" s="133"/>
      <c r="AD503" s="133"/>
      <c r="AE503" s="128"/>
      <c r="AF503" s="133"/>
    </row>
    <row r="504" spans="1:32" ht="12.75" customHeight="1" hidden="1">
      <c r="A504" s="133"/>
      <c r="B504" s="133"/>
      <c r="C504" s="132"/>
      <c r="D504" s="133"/>
      <c r="E504" s="133"/>
      <c r="F504" s="133"/>
      <c r="G504" s="134"/>
      <c r="H504" s="133"/>
      <c r="I504" s="133"/>
      <c r="J504" s="133"/>
      <c r="K504" s="135"/>
      <c r="L504" s="128"/>
      <c r="M504" s="133"/>
      <c r="N504" s="128"/>
      <c r="O504" s="133"/>
      <c r="P504" s="131"/>
      <c r="Q504" s="133"/>
      <c r="R504" s="54"/>
      <c r="S504" s="134"/>
      <c r="T504" s="133"/>
      <c r="U504" s="149"/>
      <c r="V504" s="134"/>
      <c r="W504" s="136"/>
      <c r="X504" s="136"/>
      <c r="Y504" s="134"/>
      <c r="Z504" s="136"/>
      <c r="AA504" s="128"/>
      <c r="AB504" s="134"/>
      <c r="AC504" s="133"/>
      <c r="AD504" s="133"/>
      <c r="AE504" s="128"/>
      <c r="AF504" s="133"/>
    </row>
    <row r="505" spans="1:32" ht="12.75" customHeight="1" hidden="1">
      <c r="A505" s="133"/>
      <c r="B505" s="133"/>
      <c r="C505" s="132"/>
      <c r="D505" s="133"/>
      <c r="E505" s="133"/>
      <c r="F505" s="133"/>
      <c r="G505" s="134"/>
      <c r="H505" s="133"/>
      <c r="I505" s="133"/>
      <c r="J505" s="133"/>
      <c r="K505" s="135"/>
      <c r="L505" s="128"/>
      <c r="M505" s="133"/>
      <c r="N505" s="128"/>
      <c r="O505" s="133"/>
      <c r="P505" s="131"/>
      <c r="Q505" s="133"/>
      <c r="R505" s="54"/>
      <c r="S505" s="134"/>
      <c r="T505" s="133"/>
      <c r="U505" s="149"/>
      <c r="V505" s="134"/>
      <c r="W505" s="136"/>
      <c r="X505" s="136"/>
      <c r="Y505" s="134"/>
      <c r="Z505" s="136"/>
      <c r="AA505" s="128"/>
      <c r="AB505" s="134"/>
      <c r="AC505" s="133"/>
      <c r="AD505" s="133"/>
      <c r="AE505" s="128"/>
      <c r="AF505" s="133"/>
    </row>
    <row r="506" spans="1:32" ht="12.75" customHeight="1" hidden="1">
      <c r="A506" s="133"/>
      <c r="B506" s="133"/>
      <c r="C506" s="132"/>
      <c r="D506" s="133"/>
      <c r="E506" s="133"/>
      <c r="F506" s="133"/>
      <c r="G506" s="134"/>
      <c r="H506" s="133"/>
      <c r="I506" s="133"/>
      <c r="J506" s="133"/>
      <c r="K506" s="135"/>
      <c r="L506" s="128"/>
      <c r="M506" s="133"/>
      <c r="N506" s="128"/>
      <c r="O506" s="133"/>
      <c r="P506" s="131"/>
      <c r="Q506" s="133"/>
      <c r="R506" s="54"/>
      <c r="S506" s="134"/>
      <c r="T506" s="133"/>
      <c r="U506" s="149"/>
      <c r="V506" s="134"/>
      <c r="W506" s="136"/>
      <c r="X506" s="136"/>
      <c r="Y506" s="134"/>
      <c r="Z506" s="136"/>
      <c r="AA506" s="128"/>
      <c r="AB506" s="134"/>
      <c r="AC506" s="133"/>
      <c r="AD506" s="133"/>
      <c r="AE506" s="128"/>
      <c r="AF506" s="133"/>
    </row>
    <row r="507" spans="1:32" ht="12.75" customHeight="1" hidden="1">
      <c r="A507" s="133"/>
      <c r="B507" s="133"/>
      <c r="C507" s="132"/>
      <c r="D507" s="133"/>
      <c r="E507" s="133"/>
      <c r="F507" s="133"/>
      <c r="G507" s="134"/>
      <c r="H507" s="133"/>
      <c r="I507" s="133"/>
      <c r="J507" s="133"/>
      <c r="K507" s="135"/>
      <c r="L507" s="128"/>
      <c r="M507" s="133"/>
      <c r="N507" s="128"/>
      <c r="O507" s="133"/>
      <c r="P507" s="131"/>
      <c r="Q507" s="133"/>
      <c r="R507" s="54"/>
      <c r="S507" s="134"/>
      <c r="T507" s="133"/>
      <c r="U507" s="149"/>
      <c r="V507" s="134"/>
      <c r="W507" s="136"/>
      <c r="X507" s="136"/>
      <c r="Y507" s="134"/>
      <c r="Z507" s="136"/>
      <c r="AA507" s="128"/>
      <c r="AB507" s="134"/>
      <c r="AC507" s="133"/>
      <c r="AD507" s="133"/>
      <c r="AE507" s="128"/>
      <c r="AF507" s="133"/>
    </row>
    <row r="508" spans="1:32" ht="12.75" customHeight="1" hidden="1">
      <c r="A508" s="133"/>
      <c r="B508" s="133"/>
      <c r="C508" s="132"/>
      <c r="D508" s="133"/>
      <c r="E508" s="133"/>
      <c r="F508" s="133"/>
      <c r="G508" s="134"/>
      <c r="H508" s="133"/>
      <c r="I508" s="133"/>
      <c r="J508" s="133"/>
      <c r="K508" s="135"/>
      <c r="L508" s="128"/>
      <c r="M508" s="133"/>
      <c r="N508" s="128"/>
      <c r="O508" s="133"/>
      <c r="P508" s="131"/>
      <c r="Q508" s="133"/>
      <c r="R508" s="54"/>
      <c r="S508" s="134"/>
      <c r="T508" s="133"/>
      <c r="U508" s="149"/>
      <c r="V508" s="134"/>
      <c r="W508" s="136"/>
      <c r="X508" s="136"/>
      <c r="Y508" s="134"/>
      <c r="Z508" s="136"/>
      <c r="AA508" s="128"/>
      <c r="AB508" s="134"/>
      <c r="AC508" s="133"/>
      <c r="AD508" s="133"/>
      <c r="AE508" s="128"/>
      <c r="AF508" s="133"/>
    </row>
    <row r="509" spans="1:32" ht="12.75" customHeight="1" hidden="1">
      <c r="A509" s="133"/>
      <c r="B509" s="133"/>
      <c r="C509" s="132"/>
      <c r="D509" s="133"/>
      <c r="E509" s="133"/>
      <c r="F509" s="133"/>
      <c r="G509" s="134"/>
      <c r="H509" s="133"/>
      <c r="I509" s="133"/>
      <c r="J509" s="133"/>
      <c r="K509" s="135"/>
      <c r="L509" s="128"/>
      <c r="M509" s="133"/>
      <c r="N509" s="128"/>
      <c r="O509" s="133"/>
      <c r="P509" s="131"/>
      <c r="Q509" s="133"/>
      <c r="R509" s="54"/>
      <c r="S509" s="134"/>
      <c r="T509" s="133"/>
      <c r="U509" s="149"/>
      <c r="V509" s="134"/>
      <c r="W509" s="136"/>
      <c r="X509" s="136"/>
      <c r="Y509" s="134"/>
      <c r="Z509" s="136"/>
      <c r="AA509" s="128"/>
      <c r="AB509" s="134"/>
      <c r="AC509" s="133"/>
      <c r="AD509" s="133"/>
      <c r="AE509" s="128"/>
      <c r="AF509" s="133"/>
    </row>
    <row r="510" spans="1:32" ht="12.75" customHeight="1" hidden="1">
      <c r="A510" s="133"/>
      <c r="B510" s="133"/>
      <c r="C510" s="132"/>
      <c r="D510" s="133"/>
      <c r="E510" s="133"/>
      <c r="F510" s="133"/>
      <c r="G510" s="134"/>
      <c r="H510" s="133"/>
      <c r="I510" s="133"/>
      <c r="J510" s="133"/>
      <c r="K510" s="135"/>
      <c r="L510" s="128"/>
      <c r="M510" s="133"/>
      <c r="N510" s="128"/>
      <c r="O510" s="133"/>
      <c r="P510" s="131"/>
      <c r="Q510" s="133"/>
      <c r="R510" s="54"/>
      <c r="S510" s="134"/>
      <c r="T510" s="133"/>
      <c r="U510" s="149"/>
      <c r="V510" s="134"/>
      <c r="W510" s="136"/>
      <c r="X510" s="136"/>
      <c r="Y510" s="134"/>
      <c r="Z510" s="136"/>
      <c r="AA510" s="128"/>
      <c r="AB510" s="134"/>
      <c r="AC510" s="133"/>
      <c r="AD510" s="133"/>
      <c r="AE510" s="128"/>
      <c r="AF510" s="133"/>
    </row>
    <row r="511" spans="1:32" ht="12.75" customHeight="1" hidden="1">
      <c r="A511" s="133"/>
      <c r="B511" s="133"/>
      <c r="C511" s="132"/>
      <c r="D511" s="133"/>
      <c r="E511" s="133"/>
      <c r="F511" s="133"/>
      <c r="G511" s="134"/>
      <c r="H511" s="133"/>
      <c r="I511" s="133"/>
      <c r="J511" s="133"/>
      <c r="K511" s="135"/>
      <c r="L511" s="128"/>
      <c r="M511" s="133"/>
      <c r="N511" s="128"/>
      <c r="O511" s="133"/>
      <c r="P511" s="131"/>
      <c r="Q511" s="133"/>
      <c r="R511" s="54"/>
      <c r="S511" s="134"/>
      <c r="T511" s="133"/>
      <c r="U511" s="149"/>
      <c r="V511" s="134"/>
      <c r="W511" s="136"/>
      <c r="X511" s="136"/>
      <c r="Y511" s="134"/>
      <c r="Z511" s="136"/>
      <c r="AA511" s="128"/>
      <c r="AB511" s="134"/>
      <c r="AC511" s="133"/>
      <c r="AD511" s="133"/>
      <c r="AE511" s="128"/>
      <c r="AF511" s="133"/>
    </row>
    <row r="512" spans="1:32" ht="12.75" customHeight="1" hidden="1">
      <c r="A512" s="133"/>
      <c r="B512" s="133"/>
      <c r="C512" s="132"/>
      <c r="D512" s="133"/>
      <c r="E512" s="133"/>
      <c r="F512" s="133"/>
      <c r="G512" s="134"/>
      <c r="H512" s="133"/>
      <c r="I512" s="133"/>
      <c r="J512" s="133"/>
      <c r="K512" s="135"/>
      <c r="L512" s="128"/>
      <c r="M512" s="133"/>
      <c r="N512" s="128"/>
      <c r="O512" s="133"/>
      <c r="P512" s="131"/>
      <c r="Q512" s="133"/>
      <c r="R512" s="54"/>
      <c r="S512" s="134"/>
      <c r="T512" s="133"/>
      <c r="U512" s="149"/>
      <c r="V512" s="134"/>
      <c r="W512" s="136"/>
      <c r="X512" s="136"/>
      <c r="Y512" s="134"/>
      <c r="Z512" s="136"/>
      <c r="AA512" s="128"/>
      <c r="AB512" s="134"/>
      <c r="AC512" s="133"/>
      <c r="AD512" s="133"/>
      <c r="AE512" s="128"/>
      <c r="AF512" s="133"/>
    </row>
    <row r="513" spans="1:32" ht="12.75" customHeight="1" hidden="1">
      <c r="A513" s="133"/>
      <c r="B513" s="133"/>
      <c r="C513" s="132"/>
      <c r="D513" s="133"/>
      <c r="E513" s="133"/>
      <c r="F513" s="133"/>
      <c r="G513" s="134"/>
      <c r="H513" s="133"/>
      <c r="I513" s="133"/>
      <c r="J513" s="133"/>
      <c r="K513" s="135"/>
      <c r="L513" s="128"/>
      <c r="M513" s="133"/>
      <c r="N513" s="128"/>
      <c r="O513" s="133"/>
      <c r="P513" s="131"/>
      <c r="Q513" s="133"/>
      <c r="R513" s="54"/>
      <c r="S513" s="134"/>
      <c r="T513" s="133"/>
      <c r="U513" s="149"/>
      <c r="V513" s="134"/>
      <c r="W513" s="136"/>
      <c r="X513" s="136"/>
      <c r="Y513" s="134"/>
      <c r="Z513" s="136"/>
      <c r="AA513" s="128"/>
      <c r="AB513" s="134"/>
      <c r="AC513" s="133"/>
      <c r="AD513" s="133"/>
      <c r="AE513" s="128"/>
      <c r="AF513" s="133"/>
    </row>
    <row r="514" spans="1:32" ht="12.75" customHeight="1" hidden="1">
      <c r="A514" s="133"/>
      <c r="B514" s="133"/>
      <c r="C514" s="132"/>
      <c r="D514" s="133"/>
      <c r="E514" s="133"/>
      <c r="F514" s="133"/>
      <c r="G514" s="134"/>
      <c r="H514" s="133"/>
      <c r="I514" s="133"/>
      <c r="J514" s="133"/>
      <c r="K514" s="135"/>
      <c r="L514" s="128"/>
      <c r="M514" s="133"/>
      <c r="N514" s="128"/>
      <c r="O514" s="133"/>
      <c r="P514" s="131"/>
      <c r="Q514" s="133"/>
      <c r="R514" s="54"/>
      <c r="S514" s="134"/>
      <c r="T514" s="133"/>
      <c r="U514" s="149"/>
      <c r="V514" s="134"/>
      <c r="W514" s="136"/>
      <c r="X514" s="136"/>
      <c r="Y514" s="134"/>
      <c r="Z514" s="136"/>
      <c r="AA514" s="128"/>
      <c r="AB514" s="134"/>
      <c r="AC514" s="133"/>
      <c r="AD514" s="133"/>
      <c r="AE514" s="128"/>
      <c r="AF514" s="133"/>
    </row>
    <row r="515" spans="1:32" ht="12.75" customHeight="1" hidden="1">
      <c r="A515" s="133"/>
      <c r="B515" s="133"/>
      <c r="C515" s="132"/>
      <c r="D515" s="133"/>
      <c r="E515" s="133"/>
      <c r="F515" s="133"/>
      <c r="G515" s="134"/>
      <c r="H515" s="133"/>
      <c r="I515" s="133"/>
      <c r="J515" s="133"/>
      <c r="K515" s="135"/>
      <c r="L515" s="128"/>
      <c r="M515" s="133"/>
      <c r="N515" s="128"/>
      <c r="O515" s="133"/>
      <c r="P515" s="131"/>
      <c r="Q515" s="133"/>
      <c r="R515" s="54"/>
      <c r="S515" s="134"/>
      <c r="T515" s="133"/>
      <c r="U515" s="149"/>
      <c r="V515" s="134"/>
      <c r="W515" s="136"/>
      <c r="X515" s="136"/>
      <c r="Y515" s="134"/>
      <c r="Z515" s="136"/>
      <c r="AA515" s="128"/>
      <c r="AB515" s="134"/>
      <c r="AC515" s="133"/>
      <c r="AD515" s="133"/>
      <c r="AE515" s="128"/>
      <c r="AF515" s="133"/>
    </row>
    <row r="516" spans="1:32" ht="12.75" customHeight="1" hidden="1">
      <c r="A516" s="133"/>
      <c r="B516" s="133"/>
      <c r="C516" s="132"/>
      <c r="D516" s="133"/>
      <c r="E516" s="133"/>
      <c r="F516" s="133"/>
      <c r="G516" s="134"/>
      <c r="H516" s="133"/>
      <c r="I516" s="133"/>
      <c r="J516" s="133"/>
      <c r="K516" s="135"/>
      <c r="L516" s="128"/>
      <c r="M516" s="133"/>
      <c r="N516" s="128"/>
      <c r="O516" s="133"/>
      <c r="P516" s="131"/>
      <c r="Q516" s="133"/>
      <c r="R516" s="54"/>
      <c r="S516" s="134"/>
      <c r="T516" s="133"/>
      <c r="U516" s="149"/>
      <c r="V516" s="134"/>
      <c r="W516" s="136"/>
      <c r="X516" s="136"/>
      <c r="Y516" s="134"/>
      <c r="Z516" s="136"/>
      <c r="AA516" s="128"/>
      <c r="AB516" s="134"/>
      <c r="AC516" s="133"/>
      <c r="AD516" s="133"/>
      <c r="AE516" s="128"/>
      <c r="AF516" s="133"/>
    </row>
    <row r="517" spans="1:32" ht="12.75" customHeight="1" hidden="1">
      <c r="A517" s="133"/>
      <c r="B517" s="133"/>
      <c r="C517" s="132"/>
      <c r="D517" s="133"/>
      <c r="E517" s="133"/>
      <c r="F517" s="133"/>
      <c r="G517" s="134"/>
      <c r="H517" s="133"/>
      <c r="I517" s="133"/>
      <c r="J517" s="133"/>
      <c r="K517" s="135"/>
      <c r="L517" s="128"/>
      <c r="M517" s="133"/>
      <c r="N517" s="128"/>
      <c r="O517" s="133"/>
      <c r="P517" s="131"/>
      <c r="Q517" s="133"/>
      <c r="R517" s="54"/>
      <c r="S517" s="134"/>
      <c r="T517" s="133"/>
      <c r="U517" s="149"/>
      <c r="V517" s="134"/>
      <c r="W517" s="136"/>
      <c r="X517" s="136"/>
      <c r="Y517" s="134"/>
      <c r="Z517" s="136"/>
      <c r="AA517" s="128"/>
      <c r="AB517" s="134"/>
      <c r="AC517" s="133"/>
      <c r="AD517" s="133"/>
      <c r="AE517" s="128"/>
      <c r="AF517" s="133"/>
    </row>
    <row r="518" spans="1:32" ht="12.75" customHeight="1" hidden="1">
      <c r="A518" s="133"/>
      <c r="B518" s="133"/>
      <c r="C518" s="132"/>
      <c r="D518" s="133"/>
      <c r="E518" s="133"/>
      <c r="F518" s="133"/>
      <c r="G518" s="134"/>
      <c r="H518" s="133"/>
      <c r="I518" s="133"/>
      <c r="J518" s="133"/>
      <c r="K518" s="135"/>
      <c r="L518" s="128"/>
      <c r="M518" s="133"/>
      <c r="N518" s="128"/>
      <c r="O518" s="133"/>
      <c r="P518" s="131"/>
      <c r="Q518" s="133"/>
      <c r="R518" s="54"/>
      <c r="S518" s="134"/>
      <c r="T518" s="133"/>
      <c r="U518" s="149"/>
      <c r="V518" s="134"/>
      <c r="W518" s="136"/>
      <c r="X518" s="136"/>
      <c r="Y518" s="134"/>
      <c r="Z518" s="136"/>
      <c r="AA518" s="128"/>
      <c r="AB518" s="134"/>
      <c r="AC518" s="133"/>
      <c r="AD518" s="133"/>
      <c r="AE518" s="128"/>
      <c r="AF518" s="133"/>
    </row>
    <row r="519" spans="1:32" ht="12.75" customHeight="1" hidden="1">
      <c r="A519" s="133"/>
      <c r="B519" s="133"/>
      <c r="C519" s="132"/>
      <c r="D519" s="133"/>
      <c r="E519" s="133"/>
      <c r="F519" s="133"/>
      <c r="G519" s="134"/>
      <c r="H519" s="133"/>
      <c r="I519" s="133"/>
      <c r="J519" s="133"/>
      <c r="K519" s="135"/>
      <c r="L519" s="128"/>
      <c r="M519" s="133"/>
      <c r="N519" s="128"/>
      <c r="O519" s="133"/>
      <c r="P519" s="131"/>
      <c r="Q519" s="133"/>
      <c r="R519" s="54"/>
      <c r="S519" s="134"/>
      <c r="T519" s="133"/>
      <c r="U519" s="149"/>
      <c r="V519" s="134"/>
      <c r="W519" s="136"/>
      <c r="X519" s="136"/>
      <c r="Y519" s="134"/>
      <c r="Z519" s="136"/>
      <c r="AA519" s="128"/>
      <c r="AB519" s="134"/>
      <c r="AC519" s="133"/>
      <c r="AD519" s="133"/>
      <c r="AE519" s="128"/>
      <c r="AF519" s="133"/>
    </row>
    <row r="520" spans="1:32" ht="12.75" customHeight="1" hidden="1">
      <c r="A520" s="133"/>
      <c r="B520" s="133"/>
      <c r="C520" s="132"/>
      <c r="D520" s="133"/>
      <c r="E520" s="133"/>
      <c r="F520" s="133"/>
      <c r="G520" s="134"/>
      <c r="H520" s="133"/>
      <c r="I520" s="133"/>
      <c r="J520" s="133"/>
      <c r="K520" s="135"/>
      <c r="L520" s="128"/>
      <c r="M520" s="133"/>
      <c r="N520" s="128"/>
      <c r="O520" s="133"/>
      <c r="P520" s="131"/>
      <c r="Q520" s="133"/>
      <c r="R520" s="54"/>
      <c r="S520" s="134"/>
      <c r="T520" s="133"/>
      <c r="U520" s="149"/>
      <c r="V520" s="134"/>
      <c r="W520" s="136"/>
      <c r="X520" s="136"/>
      <c r="Y520" s="134"/>
      <c r="Z520" s="136"/>
      <c r="AA520" s="128"/>
      <c r="AB520" s="134"/>
      <c r="AC520" s="133"/>
      <c r="AD520" s="133"/>
      <c r="AE520" s="128"/>
      <c r="AF520" s="133"/>
    </row>
    <row r="521" spans="1:32" ht="12.75" customHeight="1" hidden="1">
      <c r="A521" s="133"/>
      <c r="B521" s="133"/>
      <c r="C521" s="132"/>
      <c r="D521" s="133"/>
      <c r="E521" s="133"/>
      <c r="F521" s="133"/>
      <c r="G521" s="134"/>
      <c r="H521" s="133"/>
      <c r="I521" s="133"/>
      <c r="J521" s="133"/>
      <c r="K521" s="135"/>
      <c r="L521" s="128"/>
      <c r="M521" s="133"/>
      <c r="N521" s="128"/>
      <c r="O521" s="133"/>
      <c r="P521" s="131"/>
      <c r="Q521" s="133"/>
      <c r="R521" s="54"/>
      <c r="S521" s="134"/>
      <c r="T521" s="133"/>
      <c r="U521" s="149"/>
      <c r="V521" s="134"/>
      <c r="W521" s="136"/>
      <c r="X521" s="136"/>
      <c r="Y521" s="134"/>
      <c r="Z521" s="136"/>
      <c r="AA521" s="128"/>
      <c r="AB521" s="134"/>
      <c r="AC521" s="133"/>
      <c r="AD521" s="133"/>
      <c r="AE521" s="128"/>
      <c r="AF521" s="133"/>
    </row>
    <row r="522" spans="1:32" ht="12.75" customHeight="1" hidden="1">
      <c r="A522" s="133"/>
      <c r="B522" s="133"/>
      <c r="C522" s="132"/>
      <c r="D522" s="133"/>
      <c r="E522" s="133"/>
      <c r="F522" s="133"/>
      <c r="G522" s="134"/>
      <c r="H522" s="133"/>
      <c r="I522" s="133"/>
      <c r="J522" s="133"/>
      <c r="K522" s="135"/>
      <c r="L522" s="128"/>
      <c r="M522" s="133"/>
      <c r="N522" s="128"/>
      <c r="O522" s="133"/>
      <c r="P522" s="131"/>
      <c r="Q522" s="133"/>
      <c r="R522" s="54"/>
      <c r="S522" s="134"/>
      <c r="T522" s="133"/>
      <c r="U522" s="149"/>
      <c r="V522" s="134"/>
      <c r="W522" s="136"/>
      <c r="X522" s="136"/>
      <c r="Y522" s="134"/>
      <c r="Z522" s="136"/>
      <c r="AA522" s="128"/>
      <c r="AB522" s="134"/>
      <c r="AC522" s="133"/>
      <c r="AD522" s="133"/>
      <c r="AE522" s="128"/>
      <c r="AF522" s="133"/>
    </row>
    <row r="523" spans="1:32" ht="12.75" customHeight="1" hidden="1">
      <c r="A523" s="133"/>
      <c r="B523" s="133"/>
      <c r="C523" s="132"/>
      <c r="D523" s="133"/>
      <c r="E523" s="133"/>
      <c r="F523" s="133"/>
      <c r="G523" s="134"/>
      <c r="H523" s="133"/>
      <c r="I523" s="133"/>
      <c r="J523" s="133"/>
      <c r="K523" s="135"/>
      <c r="L523" s="128"/>
      <c r="M523" s="133"/>
      <c r="N523" s="128"/>
      <c r="O523" s="133"/>
      <c r="P523" s="131"/>
      <c r="Q523" s="133"/>
      <c r="R523" s="54"/>
      <c r="S523" s="134"/>
      <c r="T523" s="133"/>
      <c r="U523" s="149"/>
      <c r="V523" s="134"/>
      <c r="W523" s="136"/>
      <c r="X523" s="136"/>
      <c r="Y523" s="134"/>
      <c r="Z523" s="136"/>
      <c r="AA523" s="128"/>
      <c r="AB523" s="134"/>
      <c r="AC523" s="133"/>
      <c r="AD523" s="133"/>
      <c r="AE523" s="128"/>
      <c r="AF523" s="133"/>
    </row>
    <row r="524" spans="1:32" ht="12.75" customHeight="1" hidden="1">
      <c r="A524" s="133"/>
      <c r="B524" s="133"/>
      <c r="C524" s="132"/>
      <c r="D524" s="133"/>
      <c r="E524" s="133"/>
      <c r="F524" s="133"/>
      <c r="G524" s="134"/>
      <c r="H524" s="133"/>
      <c r="I524" s="133"/>
      <c r="J524" s="133"/>
      <c r="K524" s="135"/>
      <c r="L524" s="128"/>
      <c r="M524" s="133"/>
      <c r="N524" s="128"/>
      <c r="O524" s="133"/>
      <c r="P524" s="131"/>
      <c r="Q524" s="133"/>
      <c r="R524" s="54"/>
      <c r="S524" s="134"/>
      <c r="T524" s="133"/>
      <c r="U524" s="149"/>
      <c r="V524" s="134"/>
      <c r="W524" s="136"/>
      <c r="X524" s="136"/>
      <c r="Y524" s="134"/>
      <c r="Z524" s="136"/>
      <c r="AA524" s="128"/>
      <c r="AB524" s="134"/>
      <c r="AC524" s="133"/>
      <c r="AD524" s="133"/>
      <c r="AE524" s="128"/>
      <c r="AF524" s="133"/>
    </row>
    <row r="525" spans="1:32" ht="12.75" customHeight="1" hidden="1">
      <c r="A525" s="133"/>
      <c r="B525" s="133"/>
      <c r="C525" s="132"/>
      <c r="D525" s="133"/>
      <c r="E525" s="133"/>
      <c r="F525" s="133"/>
      <c r="G525" s="134"/>
      <c r="H525" s="133"/>
      <c r="I525" s="133"/>
      <c r="J525" s="133"/>
      <c r="K525" s="135"/>
      <c r="L525" s="128"/>
      <c r="M525" s="133"/>
      <c r="N525" s="128"/>
      <c r="O525" s="133"/>
      <c r="P525" s="131"/>
      <c r="Q525" s="133"/>
      <c r="R525" s="54"/>
      <c r="S525" s="134"/>
      <c r="T525" s="133"/>
      <c r="U525" s="149"/>
      <c r="V525" s="134"/>
      <c r="W525" s="136"/>
      <c r="X525" s="136"/>
      <c r="Y525" s="134"/>
      <c r="Z525" s="136"/>
      <c r="AA525" s="128"/>
      <c r="AB525" s="134"/>
      <c r="AC525" s="133"/>
      <c r="AD525" s="133"/>
      <c r="AE525" s="128"/>
      <c r="AF525" s="133"/>
    </row>
    <row r="526" spans="1:32" ht="12.75" customHeight="1" hidden="1">
      <c r="A526" s="133"/>
      <c r="B526" s="133"/>
      <c r="C526" s="132"/>
      <c r="D526" s="133"/>
      <c r="E526" s="133"/>
      <c r="F526" s="133"/>
      <c r="G526" s="134"/>
      <c r="H526" s="133"/>
      <c r="I526" s="133"/>
      <c r="J526" s="133"/>
      <c r="K526" s="135"/>
      <c r="L526" s="128"/>
      <c r="M526" s="133"/>
      <c r="N526" s="128"/>
      <c r="O526" s="133"/>
      <c r="P526" s="131"/>
      <c r="Q526" s="133"/>
      <c r="R526" s="54"/>
      <c r="S526" s="134"/>
      <c r="T526" s="133"/>
      <c r="U526" s="149"/>
      <c r="V526" s="134"/>
      <c r="W526" s="136"/>
      <c r="X526" s="136"/>
      <c r="Y526" s="134"/>
      <c r="Z526" s="136"/>
      <c r="AA526" s="128"/>
      <c r="AB526" s="134"/>
      <c r="AC526" s="133"/>
      <c r="AD526" s="133"/>
      <c r="AE526" s="128"/>
      <c r="AF526" s="133"/>
    </row>
    <row r="527" spans="1:32" ht="12.75" customHeight="1" hidden="1">
      <c r="A527" s="133"/>
      <c r="B527" s="133"/>
      <c r="C527" s="132"/>
      <c r="D527" s="133"/>
      <c r="E527" s="133"/>
      <c r="F527" s="133"/>
      <c r="G527" s="134"/>
      <c r="H527" s="133"/>
      <c r="I527" s="133"/>
      <c r="J527" s="133"/>
      <c r="K527" s="135"/>
      <c r="L527" s="128"/>
      <c r="M527" s="133"/>
      <c r="N527" s="128"/>
      <c r="O527" s="133"/>
      <c r="P527" s="131"/>
      <c r="Q527" s="133"/>
      <c r="R527" s="54"/>
      <c r="S527" s="134"/>
      <c r="T527" s="133"/>
      <c r="U527" s="149"/>
      <c r="V527" s="134"/>
      <c r="W527" s="136"/>
      <c r="X527" s="136"/>
      <c r="Y527" s="134"/>
      <c r="Z527" s="136"/>
      <c r="AA527" s="128"/>
      <c r="AB527" s="134"/>
      <c r="AC527" s="133"/>
      <c r="AD527" s="133"/>
      <c r="AE527" s="128"/>
      <c r="AF527" s="133"/>
    </row>
    <row r="528" spans="1:32" ht="12.75" customHeight="1" hidden="1">
      <c r="A528" s="133"/>
      <c r="B528" s="133"/>
      <c r="C528" s="132"/>
      <c r="D528" s="133"/>
      <c r="E528" s="133"/>
      <c r="F528" s="133"/>
      <c r="G528" s="134"/>
      <c r="H528" s="133"/>
      <c r="I528" s="133"/>
      <c r="J528" s="133"/>
      <c r="K528" s="135"/>
      <c r="L528" s="128"/>
      <c r="M528" s="133"/>
      <c r="N528" s="128"/>
      <c r="O528" s="133"/>
      <c r="P528" s="131"/>
      <c r="Q528" s="133"/>
      <c r="R528" s="54"/>
      <c r="S528" s="134"/>
      <c r="T528" s="133"/>
      <c r="U528" s="149"/>
      <c r="V528" s="134"/>
      <c r="W528" s="136"/>
      <c r="X528" s="136"/>
      <c r="Y528" s="134"/>
      <c r="Z528" s="136"/>
      <c r="AA528" s="128"/>
      <c r="AB528" s="134"/>
      <c r="AC528" s="133"/>
      <c r="AD528" s="133"/>
      <c r="AE528" s="128"/>
      <c r="AF528" s="133"/>
    </row>
    <row r="529" spans="1:32" ht="12.75" customHeight="1" hidden="1">
      <c r="A529" s="133"/>
      <c r="B529" s="133"/>
      <c r="C529" s="132"/>
      <c r="D529" s="133"/>
      <c r="E529" s="133"/>
      <c r="F529" s="133"/>
      <c r="G529" s="134"/>
      <c r="H529" s="133"/>
      <c r="I529" s="133"/>
      <c r="J529" s="133"/>
      <c r="K529" s="135"/>
      <c r="L529" s="128"/>
      <c r="M529" s="133"/>
      <c r="N529" s="128"/>
      <c r="O529" s="133"/>
      <c r="P529" s="131"/>
      <c r="Q529" s="133"/>
      <c r="R529" s="54"/>
      <c r="S529" s="134"/>
      <c r="T529" s="133"/>
      <c r="U529" s="149"/>
      <c r="V529" s="134"/>
      <c r="W529" s="136"/>
      <c r="X529" s="136"/>
      <c r="Y529" s="134"/>
      <c r="Z529" s="136"/>
      <c r="AA529" s="128"/>
      <c r="AB529" s="134"/>
      <c r="AC529" s="133"/>
      <c r="AD529" s="133"/>
      <c r="AE529" s="128"/>
      <c r="AF529" s="133"/>
    </row>
    <row r="530" spans="1:32" ht="12.75" customHeight="1" hidden="1">
      <c r="A530" s="133"/>
      <c r="B530" s="133"/>
      <c r="C530" s="132"/>
      <c r="D530" s="133"/>
      <c r="E530" s="133"/>
      <c r="F530" s="133"/>
      <c r="G530" s="134"/>
      <c r="H530" s="133"/>
      <c r="I530" s="133"/>
      <c r="J530" s="133"/>
      <c r="K530" s="135"/>
      <c r="L530" s="128"/>
      <c r="M530" s="133"/>
      <c r="N530" s="128"/>
      <c r="O530" s="133"/>
      <c r="P530" s="131"/>
      <c r="Q530" s="133"/>
      <c r="R530" s="54"/>
      <c r="S530" s="134"/>
      <c r="T530" s="133"/>
      <c r="U530" s="149"/>
      <c r="V530" s="134"/>
      <c r="W530" s="136"/>
      <c r="X530" s="136"/>
      <c r="Y530" s="134"/>
      <c r="Z530" s="136"/>
      <c r="AA530" s="128"/>
      <c r="AB530" s="134"/>
      <c r="AC530" s="133"/>
      <c r="AD530" s="133"/>
      <c r="AE530" s="128"/>
      <c r="AF530" s="133"/>
    </row>
    <row r="531" spans="1:32" ht="12.75" customHeight="1" hidden="1">
      <c r="A531" s="133"/>
      <c r="B531" s="133"/>
      <c r="C531" s="132"/>
      <c r="D531" s="133"/>
      <c r="E531" s="133"/>
      <c r="F531" s="133"/>
      <c r="G531" s="134"/>
      <c r="H531" s="133"/>
      <c r="I531" s="133"/>
      <c r="J531" s="133"/>
      <c r="K531" s="135"/>
      <c r="L531" s="128"/>
      <c r="M531" s="133"/>
      <c r="N531" s="128"/>
      <c r="O531" s="133"/>
      <c r="P531" s="131"/>
      <c r="Q531" s="133"/>
      <c r="R531" s="54"/>
      <c r="S531" s="134"/>
      <c r="T531" s="133"/>
      <c r="U531" s="149"/>
      <c r="V531" s="134"/>
      <c r="W531" s="136"/>
      <c r="X531" s="136"/>
      <c r="Y531" s="134"/>
      <c r="Z531" s="136"/>
      <c r="AA531" s="128"/>
      <c r="AB531" s="134"/>
      <c r="AC531" s="133"/>
      <c r="AD531" s="133"/>
      <c r="AE531" s="128"/>
      <c r="AF531" s="133"/>
    </row>
    <row r="532" spans="1:32" ht="12.75" customHeight="1" hidden="1">
      <c r="A532" s="133"/>
      <c r="B532" s="133"/>
      <c r="C532" s="132"/>
      <c r="D532" s="133"/>
      <c r="E532" s="133"/>
      <c r="F532" s="133"/>
      <c r="G532" s="134"/>
      <c r="H532" s="133"/>
      <c r="I532" s="133"/>
      <c r="J532" s="133"/>
      <c r="K532" s="135"/>
      <c r="L532" s="128"/>
      <c r="M532" s="133"/>
      <c r="N532" s="128"/>
      <c r="O532" s="133"/>
      <c r="P532" s="131"/>
      <c r="Q532" s="133"/>
      <c r="R532" s="54"/>
      <c r="S532" s="134"/>
      <c r="T532" s="133"/>
      <c r="U532" s="149"/>
      <c r="V532" s="134"/>
      <c r="W532" s="136"/>
      <c r="X532" s="136"/>
      <c r="Y532" s="134"/>
      <c r="Z532" s="136"/>
      <c r="AA532" s="128"/>
      <c r="AB532" s="134"/>
      <c r="AC532" s="133"/>
      <c r="AD532" s="133"/>
      <c r="AE532" s="128"/>
      <c r="AF532" s="133"/>
    </row>
    <row r="533" spans="1:32" ht="12.75" customHeight="1" hidden="1">
      <c r="A533" s="133"/>
      <c r="B533" s="133"/>
      <c r="C533" s="132"/>
      <c r="D533" s="133"/>
      <c r="E533" s="133"/>
      <c r="F533" s="133"/>
      <c r="G533" s="134"/>
      <c r="H533" s="133"/>
      <c r="I533" s="133"/>
      <c r="J533" s="133"/>
      <c r="K533" s="135"/>
      <c r="L533" s="128"/>
      <c r="M533" s="133"/>
      <c r="N533" s="128"/>
      <c r="O533" s="133"/>
      <c r="P533" s="131"/>
      <c r="Q533" s="133"/>
      <c r="R533" s="54"/>
      <c r="S533" s="134"/>
      <c r="T533" s="133"/>
      <c r="U533" s="149"/>
      <c r="V533" s="134"/>
      <c r="W533" s="136"/>
      <c r="X533" s="136"/>
      <c r="Y533" s="134"/>
      <c r="Z533" s="136"/>
      <c r="AA533" s="128"/>
      <c r="AB533" s="134"/>
      <c r="AC533" s="133"/>
      <c r="AD533" s="133"/>
      <c r="AE533" s="128"/>
      <c r="AF533" s="133"/>
    </row>
    <row r="534" spans="1:32" ht="12.75" customHeight="1" hidden="1">
      <c r="A534" s="133"/>
      <c r="B534" s="133"/>
      <c r="C534" s="132"/>
      <c r="D534" s="133"/>
      <c r="E534" s="133"/>
      <c r="F534" s="133"/>
      <c r="G534" s="134"/>
      <c r="H534" s="133"/>
      <c r="I534" s="133"/>
      <c r="J534" s="133"/>
      <c r="K534" s="135"/>
      <c r="L534" s="128"/>
      <c r="M534" s="133"/>
      <c r="N534" s="128"/>
      <c r="O534" s="133"/>
      <c r="P534" s="131"/>
      <c r="Q534" s="133"/>
      <c r="R534" s="54"/>
      <c r="S534" s="134"/>
      <c r="T534" s="133"/>
      <c r="U534" s="149"/>
      <c r="V534" s="134"/>
      <c r="W534" s="136"/>
      <c r="X534" s="136"/>
      <c r="Y534" s="134"/>
      <c r="Z534" s="136"/>
      <c r="AA534" s="128"/>
      <c r="AB534" s="134"/>
      <c r="AC534" s="133"/>
      <c r="AD534" s="133"/>
      <c r="AE534" s="128"/>
      <c r="AF534" s="133"/>
    </row>
    <row r="535" spans="1:32" ht="12.75" customHeight="1" hidden="1">
      <c r="A535" s="133"/>
      <c r="B535" s="133"/>
      <c r="C535" s="132"/>
      <c r="D535" s="133"/>
      <c r="E535" s="133"/>
      <c r="F535" s="133"/>
      <c r="G535" s="134"/>
      <c r="H535" s="133"/>
      <c r="I535" s="133"/>
      <c r="J535" s="133"/>
      <c r="K535" s="135"/>
      <c r="L535" s="128"/>
      <c r="M535" s="133"/>
      <c r="N535" s="128"/>
      <c r="O535" s="133"/>
      <c r="P535" s="131"/>
      <c r="Q535" s="133"/>
      <c r="R535" s="54"/>
      <c r="S535" s="134"/>
      <c r="T535" s="133"/>
      <c r="U535" s="149"/>
      <c r="V535" s="134"/>
      <c r="W535" s="136"/>
      <c r="X535" s="136"/>
      <c r="Y535" s="134"/>
      <c r="Z535" s="136"/>
      <c r="AA535" s="128"/>
      <c r="AB535" s="134"/>
      <c r="AC535" s="133"/>
      <c r="AD535" s="133"/>
      <c r="AE535" s="128"/>
      <c r="AF535" s="133"/>
    </row>
    <row r="536" spans="1:32" ht="12.75" customHeight="1" hidden="1">
      <c r="A536" s="133"/>
      <c r="B536" s="133"/>
      <c r="C536" s="132"/>
      <c r="D536" s="133"/>
      <c r="E536" s="133"/>
      <c r="F536" s="133"/>
      <c r="G536" s="134"/>
      <c r="H536" s="133"/>
      <c r="I536" s="133"/>
      <c r="J536" s="133"/>
      <c r="K536" s="135"/>
      <c r="L536" s="128"/>
      <c r="M536" s="133"/>
      <c r="N536" s="128"/>
      <c r="O536" s="133"/>
      <c r="P536" s="131"/>
      <c r="Q536" s="133"/>
      <c r="R536" s="54"/>
      <c r="S536" s="134"/>
      <c r="T536" s="133"/>
      <c r="U536" s="149"/>
      <c r="V536" s="134"/>
      <c r="W536" s="136"/>
      <c r="X536" s="136"/>
      <c r="Y536" s="134"/>
      <c r="Z536" s="136"/>
      <c r="AA536" s="128"/>
      <c r="AB536" s="134"/>
      <c r="AC536" s="133"/>
      <c r="AD536" s="133"/>
      <c r="AE536" s="128"/>
      <c r="AF536" s="133"/>
    </row>
    <row r="537" spans="1:32" ht="12.75" customHeight="1" hidden="1">
      <c r="A537" s="133"/>
      <c r="B537" s="133"/>
      <c r="C537" s="132"/>
      <c r="D537" s="133"/>
      <c r="E537" s="133"/>
      <c r="F537" s="133"/>
      <c r="G537" s="134"/>
      <c r="H537" s="133"/>
      <c r="I537" s="133"/>
      <c r="J537" s="133"/>
      <c r="K537" s="135"/>
      <c r="L537" s="128"/>
      <c r="M537" s="133"/>
      <c r="N537" s="128"/>
      <c r="O537" s="133"/>
      <c r="P537" s="131"/>
      <c r="Q537" s="133"/>
      <c r="R537" s="54"/>
      <c r="S537" s="134"/>
      <c r="T537" s="133"/>
      <c r="U537" s="149"/>
      <c r="V537" s="134"/>
      <c r="W537" s="136"/>
      <c r="X537" s="136"/>
      <c r="Y537" s="134"/>
      <c r="Z537" s="136"/>
      <c r="AA537" s="128"/>
      <c r="AB537" s="134"/>
      <c r="AC537" s="133"/>
      <c r="AD537" s="133"/>
      <c r="AE537" s="128"/>
      <c r="AF537" s="133"/>
    </row>
    <row r="538" spans="1:32" ht="12.75" customHeight="1" hidden="1">
      <c r="A538" s="133"/>
      <c r="B538" s="133"/>
      <c r="C538" s="132"/>
      <c r="D538" s="133"/>
      <c r="E538" s="133"/>
      <c r="F538" s="133"/>
      <c r="G538" s="134"/>
      <c r="H538" s="133"/>
      <c r="I538" s="133"/>
      <c r="J538" s="133"/>
      <c r="K538" s="135"/>
      <c r="L538" s="128"/>
      <c r="M538" s="133"/>
      <c r="N538" s="128"/>
      <c r="O538" s="133"/>
      <c r="P538" s="131"/>
      <c r="Q538" s="133"/>
      <c r="R538" s="54"/>
      <c r="S538" s="134"/>
      <c r="T538" s="133"/>
      <c r="U538" s="149"/>
      <c r="V538" s="134"/>
      <c r="W538" s="136"/>
      <c r="X538" s="136"/>
      <c r="Y538" s="134"/>
      <c r="Z538" s="136"/>
      <c r="AA538" s="128"/>
      <c r="AB538" s="134"/>
      <c r="AC538" s="133"/>
      <c r="AD538" s="133"/>
      <c r="AE538" s="128"/>
      <c r="AF538" s="133"/>
    </row>
    <row r="539" spans="1:32" ht="12.75" customHeight="1" hidden="1">
      <c r="A539" s="133"/>
      <c r="B539" s="133"/>
      <c r="C539" s="132"/>
      <c r="D539" s="133"/>
      <c r="E539" s="133"/>
      <c r="F539" s="133"/>
      <c r="G539" s="134"/>
      <c r="H539" s="133"/>
      <c r="I539" s="133"/>
      <c r="J539" s="133"/>
      <c r="K539" s="135"/>
      <c r="L539" s="128"/>
      <c r="M539" s="133"/>
      <c r="N539" s="128"/>
      <c r="O539" s="133"/>
      <c r="P539" s="131"/>
      <c r="Q539" s="133"/>
      <c r="R539" s="54"/>
      <c r="S539" s="134"/>
      <c r="T539" s="133"/>
      <c r="U539" s="149"/>
      <c r="V539" s="134"/>
      <c r="W539" s="136"/>
      <c r="X539" s="136"/>
      <c r="Y539" s="134"/>
      <c r="Z539" s="136"/>
      <c r="AA539" s="128"/>
      <c r="AB539" s="134"/>
      <c r="AC539" s="133"/>
      <c r="AD539" s="133"/>
      <c r="AE539" s="128"/>
      <c r="AF539" s="133"/>
    </row>
    <row r="540" spans="1:32" ht="12.75" customHeight="1" hidden="1">
      <c r="A540" s="133"/>
      <c r="B540" s="133"/>
      <c r="C540" s="132"/>
      <c r="D540" s="133"/>
      <c r="E540" s="133"/>
      <c r="F540" s="133"/>
      <c r="G540" s="134"/>
      <c r="H540" s="133"/>
      <c r="I540" s="133"/>
      <c r="J540" s="133"/>
      <c r="K540" s="135"/>
      <c r="L540" s="128"/>
      <c r="M540" s="133"/>
      <c r="N540" s="128"/>
      <c r="O540" s="133"/>
      <c r="P540" s="131"/>
      <c r="Q540" s="133"/>
      <c r="R540" s="54"/>
      <c r="S540" s="134"/>
      <c r="T540" s="133"/>
      <c r="U540" s="149"/>
      <c r="V540" s="134"/>
      <c r="W540" s="136"/>
      <c r="X540" s="136"/>
      <c r="Y540" s="134"/>
      <c r="Z540" s="136"/>
      <c r="AA540" s="128"/>
      <c r="AB540" s="134"/>
      <c r="AC540" s="133"/>
      <c r="AD540" s="133"/>
      <c r="AE540" s="128"/>
      <c r="AF540" s="133"/>
    </row>
    <row r="541" spans="1:32" ht="12.75" customHeight="1" hidden="1">
      <c r="A541" s="133"/>
      <c r="B541" s="133"/>
      <c r="C541" s="132"/>
      <c r="D541" s="133"/>
      <c r="E541" s="133"/>
      <c r="F541" s="133"/>
      <c r="G541" s="134"/>
      <c r="H541" s="133"/>
      <c r="I541" s="133"/>
      <c r="J541" s="133"/>
      <c r="K541" s="135"/>
      <c r="L541" s="128"/>
      <c r="M541" s="133"/>
      <c r="N541" s="128"/>
      <c r="O541" s="133"/>
      <c r="P541" s="131"/>
      <c r="Q541" s="133"/>
      <c r="R541" s="54"/>
      <c r="S541" s="134"/>
      <c r="T541" s="133"/>
      <c r="U541" s="149"/>
      <c r="V541" s="134"/>
      <c r="W541" s="136"/>
      <c r="X541" s="136"/>
      <c r="Y541" s="134"/>
      <c r="Z541" s="136"/>
      <c r="AA541" s="128"/>
      <c r="AB541" s="134"/>
      <c r="AC541" s="133"/>
      <c r="AD541" s="133"/>
      <c r="AE541" s="128"/>
      <c r="AF541" s="133"/>
    </row>
    <row r="542" spans="1:32" ht="12.75" customHeight="1" hidden="1">
      <c r="A542" s="133"/>
      <c r="B542" s="133"/>
      <c r="C542" s="132"/>
      <c r="D542" s="133"/>
      <c r="E542" s="133"/>
      <c r="F542" s="133"/>
      <c r="G542" s="134"/>
      <c r="H542" s="133"/>
      <c r="I542" s="133"/>
      <c r="J542" s="133"/>
      <c r="K542" s="135"/>
      <c r="L542" s="128"/>
      <c r="M542" s="133"/>
      <c r="N542" s="128"/>
      <c r="O542" s="133"/>
      <c r="P542" s="131"/>
      <c r="Q542" s="133"/>
      <c r="R542" s="54"/>
      <c r="S542" s="134"/>
      <c r="T542" s="133"/>
      <c r="U542" s="149"/>
      <c r="V542" s="134"/>
      <c r="W542" s="136"/>
      <c r="X542" s="136"/>
      <c r="Y542" s="134"/>
      <c r="Z542" s="136"/>
      <c r="AA542" s="128"/>
      <c r="AB542" s="134"/>
      <c r="AC542" s="133"/>
      <c r="AD542" s="133"/>
      <c r="AE542" s="128"/>
      <c r="AF542" s="133"/>
    </row>
    <row r="543" spans="1:32" ht="12.75" customHeight="1" hidden="1">
      <c r="A543" s="133"/>
      <c r="B543" s="133"/>
      <c r="C543" s="132"/>
      <c r="D543" s="133"/>
      <c r="E543" s="133"/>
      <c r="F543" s="133"/>
      <c r="G543" s="134"/>
      <c r="H543" s="133"/>
      <c r="I543" s="133"/>
      <c r="J543" s="133"/>
      <c r="K543" s="135"/>
      <c r="L543" s="128"/>
      <c r="M543" s="133"/>
      <c r="N543" s="128"/>
      <c r="O543" s="133"/>
      <c r="P543" s="131"/>
      <c r="Q543" s="133"/>
      <c r="R543" s="54"/>
      <c r="S543" s="134"/>
      <c r="T543" s="133"/>
      <c r="U543" s="149"/>
      <c r="V543" s="134"/>
      <c r="W543" s="136"/>
      <c r="X543" s="136"/>
      <c r="Y543" s="134"/>
      <c r="Z543" s="136"/>
      <c r="AA543" s="128"/>
      <c r="AB543" s="134"/>
      <c r="AC543" s="133"/>
      <c r="AD543" s="133"/>
      <c r="AE543" s="128"/>
      <c r="AF543" s="133"/>
    </row>
    <row r="544" spans="1:32" ht="12.75" customHeight="1" hidden="1">
      <c r="A544" s="133"/>
      <c r="B544" s="133"/>
      <c r="C544" s="132"/>
      <c r="D544" s="133"/>
      <c r="E544" s="133"/>
      <c r="F544" s="133"/>
      <c r="G544" s="134"/>
      <c r="H544" s="133"/>
      <c r="I544" s="133"/>
      <c r="J544" s="133"/>
      <c r="K544" s="135"/>
      <c r="L544" s="128"/>
      <c r="M544" s="133"/>
      <c r="N544" s="128"/>
      <c r="O544" s="133"/>
      <c r="P544" s="131"/>
      <c r="Q544" s="133"/>
      <c r="R544" s="54"/>
      <c r="S544" s="134"/>
      <c r="T544" s="133"/>
      <c r="U544" s="149"/>
      <c r="V544" s="134"/>
      <c r="W544" s="136"/>
      <c r="X544" s="136"/>
      <c r="Y544" s="134"/>
      <c r="Z544" s="136"/>
      <c r="AA544" s="128"/>
      <c r="AB544" s="134"/>
      <c r="AC544" s="133"/>
      <c r="AD544" s="133"/>
      <c r="AE544" s="128"/>
      <c r="AF544" s="133"/>
    </row>
    <row r="545" spans="1:32" ht="12.75" customHeight="1" hidden="1">
      <c r="A545" s="133"/>
      <c r="B545" s="133"/>
      <c r="C545" s="132"/>
      <c r="D545" s="133"/>
      <c r="E545" s="133"/>
      <c r="F545" s="133"/>
      <c r="G545" s="134"/>
      <c r="H545" s="133"/>
      <c r="I545" s="133"/>
      <c r="J545" s="133"/>
      <c r="K545" s="135"/>
      <c r="L545" s="128"/>
      <c r="M545" s="133"/>
      <c r="N545" s="128"/>
      <c r="O545" s="133"/>
      <c r="P545" s="131"/>
      <c r="Q545" s="133"/>
      <c r="R545" s="54"/>
      <c r="S545" s="134"/>
      <c r="T545" s="133"/>
      <c r="U545" s="149"/>
      <c r="V545" s="134"/>
      <c r="W545" s="136"/>
      <c r="X545" s="136"/>
      <c r="Y545" s="134"/>
      <c r="Z545" s="136"/>
      <c r="AA545" s="128"/>
      <c r="AB545" s="134"/>
      <c r="AC545" s="133"/>
      <c r="AD545" s="133"/>
      <c r="AE545" s="128"/>
      <c r="AF545" s="133"/>
    </row>
    <row r="546" spans="1:32" ht="12.75" customHeight="1" hidden="1">
      <c r="A546" s="133"/>
      <c r="B546" s="133"/>
      <c r="C546" s="132"/>
      <c r="D546" s="133"/>
      <c r="E546" s="133"/>
      <c r="F546" s="133"/>
      <c r="G546" s="134"/>
      <c r="H546" s="133"/>
      <c r="I546" s="133"/>
      <c r="J546" s="133"/>
      <c r="K546" s="135"/>
      <c r="L546" s="128"/>
      <c r="M546" s="133"/>
      <c r="N546" s="128"/>
      <c r="O546" s="133"/>
      <c r="P546" s="131"/>
      <c r="Q546" s="133"/>
      <c r="R546" s="54"/>
      <c r="S546" s="134"/>
      <c r="T546" s="133"/>
      <c r="U546" s="149"/>
      <c r="V546" s="134"/>
      <c r="W546" s="136"/>
      <c r="X546" s="136"/>
      <c r="Y546" s="134"/>
      <c r="Z546" s="136"/>
      <c r="AA546" s="128"/>
      <c r="AB546" s="134"/>
      <c r="AC546" s="133"/>
      <c r="AD546" s="133"/>
      <c r="AE546" s="128"/>
      <c r="AF546" s="133"/>
    </row>
    <row r="547" spans="1:32" ht="12.75" customHeight="1" hidden="1">
      <c r="A547" s="133"/>
      <c r="B547" s="133"/>
      <c r="C547" s="132"/>
      <c r="D547" s="133"/>
      <c r="E547" s="133"/>
      <c r="F547" s="133"/>
      <c r="G547" s="134"/>
      <c r="H547" s="133"/>
      <c r="I547" s="133"/>
      <c r="J547" s="133"/>
      <c r="K547" s="135"/>
      <c r="L547" s="128"/>
      <c r="M547" s="133"/>
      <c r="N547" s="128"/>
      <c r="O547" s="133"/>
      <c r="P547" s="131"/>
      <c r="Q547" s="133"/>
      <c r="R547" s="54"/>
      <c r="S547" s="134"/>
      <c r="T547" s="133"/>
      <c r="U547" s="149"/>
      <c r="V547" s="134"/>
      <c r="W547" s="136"/>
      <c r="X547" s="136"/>
      <c r="Y547" s="134"/>
      <c r="Z547" s="136"/>
      <c r="AA547" s="128"/>
      <c r="AB547" s="134"/>
      <c r="AC547" s="133"/>
      <c r="AD547" s="133"/>
      <c r="AE547" s="128"/>
      <c r="AF547" s="133"/>
    </row>
    <row r="548" spans="1:32" ht="12.75" customHeight="1" hidden="1">
      <c r="A548" s="133"/>
      <c r="B548" s="133"/>
      <c r="C548" s="132"/>
      <c r="D548" s="133"/>
      <c r="E548" s="133"/>
      <c r="F548" s="133"/>
      <c r="G548" s="134"/>
      <c r="H548" s="133"/>
      <c r="I548" s="133"/>
      <c r="J548" s="133"/>
      <c r="K548" s="135"/>
      <c r="L548" s="128"/>
      <c r="M548" s="133"/>
      <c r="N548" s="128"/>
      <c r="O548" s="133"/>
      <c r="P548" s="131"/>
      <c r="Q548" s="133"/>
      <c r="R548" s="54"/>
      <c r="S548" s="134"/>
      <c r="T548" s="133"/>
      <c r="U548" s="149"/>
      <c r="V548" s="134"/>
      <c r="W548" s="136"/>
      <c r="X548" s="136"/>
      <c r="Y548" s="134"/>
      <c r="Z548" s="136"/>
      <c r="AA548" s="128"/>
      <c r="AB548" s="134"/>
      <c r="AC548" s="133"/>
      <c r="AD548" s="133"/>
      <c r="AE548" s="128"/>
      <c r="AF548" s="133"/>
    </row>
    <row r="549" spans="1:32" ht="12.75" customHeight="1" hidden="1">
      <c r="A549" s="133"/>
      <c r="B549" s="133"/>
      <c r="C549" s="132"/>
      <c r="D549" s="133"/>
      <c r="E549" s="133"/>
      <c r="F549" s="133"/>
      <c r="G549" s="134"/>
      <c r="H549" s="133"/>
      <c r="I549" s="133"/>
      <c r="J549" s="133"/>
      <c r="K549" s="135"/>
      <c r="L549" s="128"/>
      <c r="M549" s="133"/>
      <c r="N549" s="128"/>
      <c r="O549" s="133"/>
      <c r="P549" s="131"/>
      <c r="Q549" s="133"/>
      <c r="R549" s="54"/>
      <c r="S549" s="134"/>
      <c r="T549" s="133"/>
      <c r="U549" s="149"/>
      <c r="V549" s="134"/>
      <c r="W549" s="136"/>
      <c r="X549" s="136"/>
      <c r="Y549" s="134"/>
      <c r="Z549" s="136"/>
      <c r="AA549" s="128"/>
      <c r="AB549" s="134"/>
      <c r="AC549" s="133"/>
      <c r="AD549" s="133"/>
      <c r="AE549" s="128"/>
      <c r="AF549" s="133"/>
    </row>
    <row r="550" spans="1:32" ht="12.75" customHeight="1" hidden="1">
      <c r="A550" s="133"/>
      <c r="B550" s="133"/>
      <c r="C550" s="132"/>
      <c r="D550" s="133"/>
      <c r="E550" s="133"/>
      <c r="F550" s="133"/>
      <c r="G550" s="134"/>
      <c r="H550" s="133"/>
      <c r="I550" s="133"/>
      <c r="J550" s="133"/>
      <c r="K550" s="135"/>
      <c r="L550" s="128"/>
      <c r="M550" s="133"/>
      <c r="N550" s="128"/>
      <c r="O550" s="133"/>
      <c r="P550" s="131"/>
      <c r="Q550" s="133"/>
      <c r="R550" s="54"/>
      <c r="S550" s="134"/>
      <c r="T550" s="133"/>
      <c r="U550" s="149"/>
      <c r="V550" s="134"/>
      <c r="W550" s="136"/>
      <c r="X550" s="136"/>
      <c r="Y550" s="134"/>
      <c r="Z550" s="136"/>
      <c r="AA550" s="128"/>
      <c r="AB550" s="134"/>
      <c r="AC550" s="133"/>
      <c r="AD550" s="133"/>
      <c r="AE550" s="128"/>
      <c r="AF550" s="133"/>
    </row>
    <row r="551" spans="1:32" ht="12.75" customHeight="1" hidden="1">
      <c r="A551" s="133"/>
      <c r="B551" s="133"/>
      <c r="C551" s="132"/>
      <c r="D551" s="133"/>
      <c r="E551" s="133"/>
      <c r="F551" s="133"/>
      <c r="G551" s="134"/>
      <c r="H551" s="133"/>
      <c r="I551" s="133"/>
      <c r="J551" s="133"/>
      <c r="K551" s="135"/>
      <c r="L551" s="128"/>
      <c r="M551" s="133"/>
      <c r="N551" s="128"/>
      <c r="O551" s="133"/>
      <c r="P551" s="131"/>
      <c r="Q551" s="133"/>
      <c r="R551" s="54"/>
      <c r="S551" s="134"/>
      <c r="T551" s="133"/>
      <c r="U551" s="149"/>
      <c r="V551" s="134"/>
      <c r="W551" s="136"/>
      <c r="X551" s="136"/>
      <c r="Y551" s="134"/>
      <c r="Z551" s="136"/>
      <c r="AA551" s="128"/>
      <c r="AB551" s="134"/>
      <c r="AC551" s="133"/>
      <c r="AD551" s="133"/>
      <c r="AE551" s="128"/>
      <c r="AF551" s="133"/>
    </row>
    <row r="552" spans="1:32" ht="12.75" customHeight="1" hidden="1">
      <c r="A552" s="133"/>
      <c r="B552" s="133"/>
      <c r="C552" s="132"/>
      <c r="D552" s="133"/>
      <c r="E552" s="133"/>
      <c r="F552" s="133"/>
      <c r="G552" s="134"/>
      <c r="H552" s="133"/>
      <c r="I552" s="133"/>
      <c r="J552" s="133"/>
      <c r="K552" s="135"/>
      <c r="L552" s="128"/>
      <c r="M552" s="133"/>
      <c r="N552" s="128"/>
      <c r="O552" s="133"/>
      <c r="P552" s="131"/>
      <c r="Q552" s="133"/>
      <c r="R552" s="54"/>
      <c r="S552" s="134"/>
      <c r="T552" s="133"/>
      <c r="U552" s="149"/>
      <c r="V552" s="134"/>
      <c r="W552" s="136"/>
      <c r="X552" s="136"/>
      <c r="Y552" s="134"/>
      <c r="Z552" s="136"/>
      <c r="AA552" s="128"/>
      <c r="AB552" s="134"/>
      <c r="AC552" s="133"/>
      <c r="AD552" s="133"/>
      <c r="AE552" s="128"/>
      <c r="AF552" s="133"/>
    </row>
    <row r="553" spans="1:32" ht="12.75" customHeight="1" hidden="1">
      <c r="A553" s="133"/>
      <c r="B553" s="133"/>
      <c r="C553" s="132"/>
      <c r="D553" s="133"/>
      <c r="E553" s="133"/>
      <c r="F553" s="133"/>
      <c r="G553" s="134"/>
      <c r="H553" s="133"/>
      <c r="I553" s="133"/>
      <c r="J553" s="133"/>
      <c r="K553" s="135"/>
      <c r="L553" s="128"/>
      <c r="M553" s="133"/>
      <c r="N553" s="128"/>
      <c r="O553" s="133"/>
      <c r="P553" s="131"/>
      <c r="Q553" s="133"/>
      <c r="R553" s="54"/>
      <c r="S553" s="134"/>
      <c r="T553" s="133"/>
      <c r="U553" s="149"/>
      <c r="V553" s="134"/>
      <c r="W553" s="136"/>
      <c r="X553" s="136"/>
      <c r="Y553" s="134"/>
      <c r="Z553" s="136"/>
      <c r="AA553" s="128"/>
      <c r="AB553" s="134"/>
      <c r="AC553" s="133"/>
      <c r="AD553" s="133"/>
      <c r="AE553" s="128"/>
      <c r="AF553" s="133"/>
    </row>
    <row r="554" spans="1:32" ht="12.75" customHeight="1" hidden="1">
      <c r="A554" s="133"/>
      <c r="B554" s="133"/>
      <c r="C554" s="132"/>
      <c r="D554" s="133"/>
      <c r="E554" s="133"/>
      <c r="F554" s="133"/>
      <c r="G554" s="134"/>
      <c r="H554" s="133"/>
      <c r="I554" s="133"/>
      <c r="J554" s="133"/>
      <c r="K554" s="135"/>
      <c r="L554" s="128"/>
      <c r="M554" s="133"/>
      <c r="N554" s="128"/>
      <c r="O554" s="133"/>
      <c r="P554" s="131"/>
      <c r="Q554" s="133"/>
      <c r="R554" s="54"/>
      <c r="S554" s="134"/>
      <c r="T554" s="133"/>
      <c r="U554" s="149"/>
      <c r="V554" s="134"/>
      <c r="W554" s="136"/>
      <c r="X554" s="136"/>
      <c r="Y554" s="134"/>
      <c r="Z554" s="136"/>
      <c r="AA554" s="128"/>
      <c r="AB554" s="134"/>
      <c r="AC554" s="133"/>
      <c r="AD554" s="133"/>
      <c r="AE554" s="128"/>
      <c r="AF554" s="133"/>
    </row>
    <row r="555" spans="1:32" ht="12.75" customHeight="1" hidden="1">
      <c r="A555" s="133"/>
      <c r="B555" s="133"/>
      <c r="C555" s="132"/>
      <c r="D555" s="133"/>
      <c r="E555" s="133"/>
      <c r="F555" s="133"/>
      <c r="G555" s="134"/>
      <c r="H555" s="133"/>
      <c r="I555" s="133"/>
      <c r="J555" s="133"/>
      <c r="K555" s="135"/>
      <c r="L555" s="128"/>
      <c r="M555" s="133"/>
      <c r="N555" s="128"/>
      <c r="O555" s="133"/>
      <c r="P555" s="131"/>
      <c r="Q555" s="133"/>
      <c r="R555" s="54"/>
      <c r="S555" s="134"/>
      <c r="T555" s="133"/>
      <c r="U555" s="149"/>
      <c r="V555" s="134"/>
      <c r="W555" s="136"/>
      <c r="X555" s="136"/>
      <c r="Y555" s="134"/>
      <c r="Z555" s="136"/>
      <c r="AA555" s="128"/>
      <c r="AB555" s="134"/>
      <c r="AC555" s="133"/>
      <c r="AD555" s="133"/>
      <c r="AE555" s="128"/>
      <c r="AF555" s="133"/>
    </row>
    <row r="556" spans="1:32" ht="12.75" customHeight="1" hidden="1">
      <c r="A556" s="133"/>
      <c r="B556" s="133"/>
      <c r="C556" s="132"/>
      <c r="D556" s="133"/>
      <c r="E556" s="133"/>
      <c r="F556" s="133"/>
      <c r="G556" s="134"/>
      <c r="H556" s="133"/>
      <c r="I556" s="133"/>
      <c r="J556" s="133"/>
      <c r="K556" s="135"/>
      <c r="L556" s="128"/>
      <c r="M556" s="133"/>
      <c r="N556" s="128"/>
      <c r="O556" s="133"/>
      <c r="P556" s="131"/>
      <c r="Q556" s="133"/>
      <c r="R556" s="54"/>
      <c r="S556" s="134"/>
      <c r="T556" s="133"/>
      <c r="U556" s="149"/>
      <c r="V556" s="134"/>
      <c r="W556" s="136"/>
      <c r="X556" s="136"/>
      <c r="Y556" s="134"/>
      <c r="Z556" s="136"/>
      <c r="AA556" s="128"/>
      <c r="AB556" s="134"/>
      <c r="AC556" s="133"/>
      <c r="AD556" s="133"/>
      <c r="AE556" s="128"/>
      <c r="AF556" s="133"/>
    </row>
    <row r="557" spans="1:32" ht="12.75" customHeight="1" hidden="1">
      <c r="A557" s="133"/>
      <c r="B557" s="133"/>
      <c r="C557" s="132"/>
      <c r="D557" s="133"/>
      <c r="E557" s="133"/>
      <c r="F557" s="133"/>
      <c r="G557" s="134"/>
      <c r="H557" s="133"/>
      <c r="I557" s="133"/>
      <c r="J557" s="133"/>
      <c r="K557" s="135"/>
      <c r="L557" s="128"/>
      <c r="M557" s="133"/>
      <c r="N557" s="128"/>
      <c r="O557" s="133"/>
      <c r="P557" s="131"/>
      <c r="Q557" s="133"/>
      <c r="R557" s="54"/>
      <c r="S557" s="134"/>
      <c r="T557" s="133"/>
      <c r="U557" s="149"/>
      <c r="V557" s="134"/>
      <c r="W557" s="136"/>
      <c r="X557" s="136"/>
      <c r="Y557" s="134"/>
      <c r="Z557" s="136"/>
      <c r="AA557" s="128"/>
      <c r="AB557" s="134"/>
      <c r="AC557" s="133"/>
      <c r="AD557" s="133"/>
      <c r="AE557" s="128"/>
      <c r="AF557" s="133"/>
    </row>
    <row r="558" spans="1:32" ht="12.75" customHeight="1" hidden="1">
      <c r="A558" s="133"/>
      <c r="B558" s="133"/>
      <c r="C558" s="132"/>
      <c r="D558" s="133"/>
      <c r="E558" s="133"/>
      <c r="F558" s="133"/>
      <c r="G558" s="134"/>
      <c r="H558" s="133"/>
      <c r="I558" s="133"/>
      <c r="J558" s="133"/>
      <c r="K558" s="135"/>
      <c r="L558" s="128"/>
      <c r="M558" s="133"/>
      <c r="N558" s="128"/>
      <c r="O558" s="133"/>
      <c r="P558" s="131"/>
      <c r="Q558" s="133"/>
      <c r="R558" s="54"/>
      <c r="S558" s="134"/>
      <c r="T558" s="133"/>
      <c r="U558" s="149"/>
      <c r="V558" s="134"/>
      <c r="W558" s="136"/>
      <c r="X558" s="136"/>
      <c r="Y558" s="134"/>
      <c r="Z558" s="136"/>
      <c r="AA558" s="128"/>
      <c r="AB558" s="134"/>
      <c r="AC558" s="133"/>
      <c r="AD558" s="133"/>
      <c r="AE558" s="128"/>
      <c r="AF558" s="133"/>
    </row>
    <row r="559" spans="1:32" ht="12.75" customHeight="1" hidden="1">
      <c r="A559" s="133"/>
      <c r="B559" s="133"/>
      <c r="C559" s="132"/>
      <c r="D559" s="133"/>
      <c r="E559" s="133"/>
      <c r="F559" s="133"/>
      <c r="G559" s="134"/>
      <c r="H559" s="133"/>
      <c r="I559" s="133"/>
      <c r="J559" s="133"/>
      <c r="K559" s="135"/>
      <c r="L559" s="128"/>
      <c r="M559" s="133"/>
      <c r="N559" s="128"/>
      <c r="O559" s="133"/>
      <c r="P559" s="131"/>
      <c r="Q559" s="133"/>
      <c r="R559" s="54"/>
      <c r="S559" s="134"/>
      <c r="T559" s="133"/>
      <c r="U559" s="149"/>
      <c r="V559" s="134"/>
      <c r="W559" s="136"/>
      <c r="X559" s="136"/>
      <c r="Y559" s="134"/>
      <c r="Z559" s="136"/>
      <c r="AA559" s="128"/>
      <c r="AB559" s="134"/>
      <c r="AC559" s="133"/>
      <c r="AD559" s="133"/>
      <c r="AE559" s="128"/>
      <c r="AF559" s="133"/>
    </row>
    <row r="560" spans="1:32" ht="12.75" customHeight="1" hidden="1">
      <c r="A560" s="133"/>
      <c r="B560" s="133"/>
      <c r="C560" s="132"/>
      <c r="D560" s="133"/>
      <c r="E560" s="133"/>
      <c r="F560" s="133"/>
      <c r="G560" s="134"/>
      <c r="H560" s="133"/>
      <c r="I560" s="133"/>
      <c r="J560" s="133"/>
      <c r="K560" s="135"/>
      <c r="L560" s="128"/>
      <c r="M560" s="133"/>
      <c r="N560" s="128"/>
      <c r="O560" s="133"/>
      <c r="P560" s="131"/>
      <c r="Q560" s="133"/>
      <c r="R560" s="54"/>
      <c r="S560" s="134"/>
      <c r="T560" s="133"/>
      <c r="U560" s="149"/>
      <c r="V560" s="134"/>
      <c r="W560" s="136"/>
      <c r="X560" s="136"/>
      <c r="Y560" s="134"/>
      <c r="Z560" s="136"/>
      <c r="AA560" s="128"/>
      <c r="AB560" s="134"/>
      <c r="AC560" s="133"/>
      <c r="AD560" s="133"/>
      <c r="AE560" s="128"/>
      <c r="AF560" s="133"/>
    </row>
    <row r="561" spans="1:32" ht="12.75" customHeight="1" hidden="1">
      <c r="A561" s="133"/>
      <c r="B561" s="133"/>
      <c r="C561" s="132"/>
      <c r="D561" s="133"/>
      <c r="E561" s="133"/>
      <c r="F561" s="133"/>
      <c r="G561" s="134"/>
      <c r="H561" s="133"/>
      <c r="I561" s="133"/>
      <c r="J561" s="133"/>
      <c r="K561" s="135"/>
      <c r="L561" s="128"/>
      <c r="M561" s="133"/>
      <c r="N561" s="128"/>
      <c r="O561" s="133"/>
      <c r="P561" s="131"/>
      <c r="Q561" s="133"/>
      <c r="R561" s="54"/>
      <c r="S561" s="134"/>
      <c r="T561" s="133"/>
      <c r="U561" s="149"/>
      <c r="V561" s="134"/>
      <c r="W561" s="136"/>
      <c r="X561" s="136"/>
      <c r="Y561" s="134"/>
      <c r="Z561" s="136"/>
      <c r="AA561" s="128"/>
      <c r="AB561" s="134"/>
      <c r="AC561" s="133"/>
      <c r="AD561" s="133"/>
      <c r="AE561" s="128"/>
      <c r="AF561" s="133"/>
    </row>
    <row r="562" spans="1:32" ht="12.75" customHeight="1" hidden="1">
      <c r="A562" s="133"/>
      <c r="B562" s="133"/>
      <c r="C562" s="132"/>
      <c r="D562" s="133"/>
      <c r="E562" s="133"/>
      <c r="F562" s="133"/>
      <c r="G562" s="134"/>
      <c r="H562" s="133"/>
      <c r="I562" s="133"/>
      <c r="J562" s="133"/>
      <c r="K562" s="135"/>
      <c r="L562" s="128"/>
      <c r="M562" s="133"/>
      <c r="N562" s="128"/>
      <c r="O562" s="133"/>
      <c r="P562" s="131"/>
      <c r="Q562" s="133"/>
      <c r="R562" s="54"/>
      <c r="S562" s="134"/>
      <c r="T562" s="133"/>
      <c r="U562" s="149"/>
      <c r="V562" s="134"/>
      <c r="W562" s="136"/>
      <c r="X562" s="136"/>
      <c r="Y562" s="134"/>
      <c r="Z562" s="136"/>
      <c r="AA562" s="128"/>
      <c r="AB562" s="134"/>
      <c r="AC562" s="133"/>
      <c r="AD562" s="133"/>
      <c r="AE562" s="128"/>
      <c r="AF562" s="133"/>
    </row>
    <row r="563" spans="1:32" ht="12.75" customHeight="1" hidden="1">
      <c r="A563" s="133"/>
      <c r="B563" s="133"/>
      <c r="C563" s="132"/>
      <c r="D563" s="133"/>
      <c r="E563" s="133"/>
      <c r="F563" s="133"/>
      <c r="G563" s="134"/>
      <c r="H563" s="133"/>
      <c r="I563" s="133"/>
      <c r="J563" s="133"/>
      <c r="K563" s="135"/>
      <c r="L563" s="128"/>
      <c r="M563" s="133"/>
      <c r="N563" s="128"/>
      <c r="O563" s="133"/>
      <c r="P563" s="131"/>
      <c r="Q563" s="133"/>
      <c r="R563" s="54"/>
      <c r="S563" s="134"/>
      <c r="T563" s="133"/>
      <c r="U563" s="149"/>
      <c r="V563" s="134"/>
      <c r="W563" s="136"/>
      <c r="X563" s="136"/>
      <c r="Y563" s="134"/>
      <c r="Z563" s="136"/>
      <c r="AA563" s="128"/>
      <c r="AB563" s="134"/>
      <c r="AC563" s="133"/>
      <c r="AD563" s="133"/>
      <c r="AE563" s="128"/>
      <c r="AF563" s="133"/>
    </row>
    <row r="564" spans="1:32" ht="12.75" customHeight="1" hidden="1">
      <c r="A564" s="133"/>
      <c r="B564" s="133"/>
      <c r="C564" s="132"/>
      <c r="D564" s="133"/>
      <c r="E564" s="133"/>
      <c r="F564" s="133"/>
      <c r="G564" s="134"/>
      <c r="H564" s="133"/>
      <c r="I564" s="133"/>
      <c r="J564" s="133"/>
      <c r="K564" s="135"/>
      <c r="L564" s="128"/>
      <c r="M564" s="133"/>
      <c r="N564" s="128"/>
      <c r="O564" s="133"/>
      <c r="P564" s="131"/>
      <c r="Q564" s="133"/>
      <c r="R564" s="54"/>
      <c r="S564" s="134"/>
      <c r="T564" s="133"/>
      <c r="U564" s="149"/>
      <c r="V564" s="134"/>
      <c r="W564" s="136"/>
      <c r="X564" s="136"/>
      <c r="Y564" s="134"/>
      <c r="Z564" s="136"/>
      <c r="AA564" s="128"/>
      <c r="AB564" s="134"/>
      <c r="AC564" s="133"/>
      <c r="AD564" s="133"/>
      <c r="AE564" s="128"/>
      <c r="AF564" s="133"/>
    </row>
    <row r="565" spans="1:32" ht="12.75" customHeight="1" hidden="1">
      <c r="A565" s="133"/>
      <c r="B565" s="133"/>
      <c r="C565" s="132"/>
      <c r="D565" s="133"/>
      <c r="E565" s="133"/>
      <c r="F565" s="133"/>
      <c r="G565" s="134"/>
      <c r="H565" s="133"/>
      <c r="I565" s="133"/>
      <c r="J565" s="133"/>
      <c r="K565" s="135"/>
      <c r="L565" s="128"/>
      <c r="M565" s="133"/>
      <c r="N565" s="128"/>
      <c r="O565" s="133"/>
      <c r="P565" s="131"/>
      <c r="Q565" s="133"/>
      <c r="R565" s="54"/>
      <c r="S565" s="134"/>
      <c r="T565" s="133"/>
      <c r="U565" s="149"/>
      <c r="V565" s="134"/>
      <c r="W565" s="136"/>
      <c r="X565" s="136"/>
      <c r="Y565" s="134"/>
      <c r="Z565" s="136"/>
      <c r="AA565" s="128"/>
      <c r="AB565" s="134"/>
      <c r="AC565" s="133"/>
      <c r="AD565" s="133"/>
      <c r="AE565" s="128"/>
      <c r="AF565" s="133"/>
    </row>
    <row r="566" spans="1:32" ht="12.75" customHeight="1" hidden="1">
      <c r="A566" s="133"/>
      <c r="B566" s="133"/>
      <c r="C566" s="132"/>
      <c r="D566" s="133"/>
      <c r="E566" s="133"/>
      <c r="F566" s="133"/>
      <c r="G566" s="134"/>
      <c r="H566" s="133"/>
      <c r="I566" s="133"/>
      <c r="J566" s="133"/>
      <c r="K566" s="135"/>
      <c r="L566" s="128"/>
      <c r="M566" s="133"/>
      <c r="N566" s="128"/>
      <c r="O566" s="133"/>
      <c r="P566" s="131"/>
      <c r="Q566" s="133"/>
      <c r="R566" s="54"/>
      <c r="S566" s="134"/>
      <c r="T566" s="133"/>
      <c r="U566" s="149"/>
      <c r="V566" s="134"/>
      <c r="W566" s="136"/>
      <c r="X566" s="136"/>
      <c r="Y566" s="134"/>
      <c r="Z566" s="136"/>
      <c r="AA566" s="128"/>
      <c r="AB566" s="134"/>
      <c r="AC566" s="133"/>
      <c r="AD566" s="133"/>
      <c r="AE566" s="128"/>
      <c r="AF566" s="133"/>
    </row>
    <row r="567" spans="1:32" ht="12.75" customHeight="1" hidden="1">
      <c r="A567" s="133"/>
      <c r="B567" s="133"/>
      <c r="C567" s="132"/>
      <c r="D567" s="133"/>
      <c r="E567" s="133"/>
      <c r="F567" s="133"/>
      <c r="G567" s="134"/>
      <c r="H567" s="133"/>
      <c r="I567" s="133"/>
      <c r="J567" s="133"/>
      <c r="K567" s="135"/>
      <c r="L567" s="128"/>
      <c r="M567" s="133"/>
      <c r="N567" s="128"/>
      <c r="O567" s="133"/>
      <c r="P567" s="131"/>
      <c r="Q567" s="133"/>
      <c r="R567" s="54"/>
      <c r="S567" s="134"/>
      <c r="T567" s="133"/>
      <c r="U567" s="149"/>
      <c r="V567" s="134"/>
      <c r="W567" s="136"/>
      <c r="X567" s="136"/>
      <c r="Y567" s="134"/>
      <c r="Z567" s="136"/>
      <c r="AA567" s="128"/>
      <c r="AB567" s="134"/>
      <c r="AC567" s="133"/>
      <c r="AD567" s="133"/>
      <c r="AE567" s="128"/>
      <c r="AF567" s="133"/>
    </row>
    <row r="568" spans="1:32" ht="12.75" customHeight="1" hidden="1">
      <c r="A568" s="133"/>
      <c r="B568" s="133"/>
      <c r="C568" s="132"/>
      <c r="D568" s="133"/>
      <c r="E568" s="133"/>
      <c r="F568" s="133"/>
      <c r="G568" s="134"/>
      <c r="H568" s="133"/>
      <c r="I568" s="133"/>
      <c r="J568" s="133"/>
      <c r="K568" s="135"/>
      <c r="L568" s="128"/>
      <c r="M568" s="133"/>
      <c r="N568" s="128"/>
      <c r="O568" s="133"/>
      <c r="P568" s="131"/>
      <c r="Q568" s="133"/>
      <c r="R568" s="54"/>
      <c r="S568" s="134"/>
      <c r="T568" s="133"/>
      <c r="U568" s="149"/>
      <c r="V568" s="134"/>
      <c r="W568" s="136"/>
      <c r="X568" s="136"/>
      <c r="Y568" s="134"/>
      <c r="Z568" s="136"/>
      <c r="AA568" s="128"/>
      <c r="AB568" s="134"/>
      <c r="AC568" s="133"/>
      <c r="AD568" s="133"/>
      <c r="AE568" s="128"/>
      <c r="AF568" s="133"/>
    </row>
    <row r="569" spans="1:32" ht="12.75" customHeight="1" hidden="1">
      <c r="A569" s="133"/>
      <c r="B569" s="133"/>
      <c r="C569" s="132"/>
      <c r="D569" s="133"/>
      <c r="E569" s="133"/>
      <c r="F569" s="133"/>
      <c r="G569" s="134"/>
      <c r="H569" s="133"/>
      <c r="I569" s="133"/>
      <c r="J569" s="133"/>
      <c r="K569" s="135"/>
      <c r="L569" s="128"/>
      <c r="M569" s="133"/>
      <c r="N569" s="128"/>
      <c r="O569" s="133"/>
      <c r="P569" s="131"/>
      <c r="Q569" s="133"/>
      <c r="R569" s="54"/>
      <c r="S569" s="134"/>
      <c r="T569" s="133"/>
      <c r="U569" s="149"/>
      <c r="V569" s="134"/>
      <c r="W569" s="136"/>
      <c r="X569" s="136"/>
      <c r="Y569" s="134"/>
      <c r="Z569" s="136"/>
      <c r="AA569" s="128"/>
      <c r="AB569" s="134"/>
      <c r="AC569" s="133"/>
      <c r="AD569" s="133"/>
      <c r="AE569" s="128"/>
      <c r="AF569" s="133"/>
    </row>
    <row r="570" spans="1:32" ht="12.75" customHeight="1" hidden="1">
      <c r="A570" s="133"/>
      <c r="B570" s="133"/>
      <c r="C570" s="132"/>
      <c r="D570" s="133"/>
      <c r="E570" s="133"/>
      <c r="F570" s="133"/>
      <c r="G570" s="134"/>
      <c r="H570" s="133"/>
      <c r="I570" s="133"/>
      <c r="J570" s="133"/>
      <c r="K570" s="135"/>
      <c r="L570" s="128"/>
      <c r="M570" s="133"/>
      <c r="N570" s="128"/>
      <c r="O570" s="133"/>
      <c r="P570" s="131"/>
      <c r="Q570" s="133"/>
      <c r="R570" s="54"/>
      <c r="S570" s="134"/>
      <c r="T570" s="133"/>
      <c r="U570" s="149"/>
      <c r="V570" s="134"/>
      <c r="W570" s="136"/>
      <c r="X570" s="136"/>
      <c r="Y570" s="134"/>
      <c r="Z570" s="136"/>
      <c r="AA570" s="128"/>
      <c r="AB570" s="134"/>
      <c r="AC570" s="133"/>
      <c r="AD570" s="133"/>
      <c r="AE570" s="128"/>
      <c r="AF570" s="133"/>
    </row>
    <row r="571" spans="1:32" ht="12.75" customHeight="1" hidden="1">
      <c r="A571" s="133"/>
      <c r="B571" s="133"/>
      <c r="C571" s="132"/>
      <c r="D571" s="133"/>
      <c r="E571" s="133"/>
      <c r="F571" s="133"/>
      <c r="G571" s="134"/>
      <c r="H571" s="133"/>
      <c r="I571" s="133"/>
      <c r="J571" s="133"/>
      <c r="K571" s="135"/>
      <c r="L571" s="128"/>
      <c r="M571" s="133"/>
      <c r="N571" s="128"/>
      <c r="O571" s="133"/>
      <c r="P571" s="131"/>
      <c r="Q571" s="133"/>
      <c r="R571" s="54"/>
      <c r="S571" s="134"/>
      <c r="T571" s="133"/>
      <c r="U571" s="149"/>
      <c r="V571" s="134"/>
      <c r="W571" s="136"/>
      <c r="X571" s="136"/>
      <c r="Y571" s="134"/>
      <c r="Z571" s="136"/>
      <c r="AA571" s="128"/>
      <c r="AB571" s="134"/>
      <c r="AC571" s="133"/>
      <c r="AD571" s="133"/>
      <c r="AE571" s="128"/>
      <c r="AF571" s="133"/>
    </row>
    <row r="572" spans="1:32" ht="12.75" customHeight="1" hidden="1">
      <c r="A572" s="133"/>
      <c r="B572" s="133"/>
      <c r="C572" s="132"/>
      <c r="D572" s="133"/>
      <c r="E572" s="133"/>
      <c r="F572" s="133"/>
      <c r="G572" s="134"/>
      <c r="H572" s="133"/>
      <c r="I572" s="133"/>
      <c r="J572" s="133"/>
      <c r="K572" s="135"/>
      <c r="L572" s="128"/>
      <c r="M572" s="133"/>
      <c r="N572" s="128"/>
      <c r="O572" s="133"/>
      <c r="P572" s="131"/>
      <c r="Q572" s="133"/>
      <c r="R572" s="54"/>
      <c r="S572" s="134"/>
      <c r="T572" s="133"/>
      <c r="U572" s="149"/>
      <c r="V572" s="134"/>
      <c r="W572" s="136"/>
      <c r="X572" s="136"/>
      <c r="Y572" s="134"/>
      <c r="Z572" s="136"/>
      <c r="AA572" s="128"/>
      <c r="AB572" s="134"/>
      <c r="AC572" s="133"/>
      <c r="AD572" s="133"/>
      <c r="AE572" s="128"/>
      <c r="AF572" s="133"/>
    </row>
    <row r="573" spans="1:32" ht="12.75" customHeight="1" hidden="1">
      <c r="A573" s="133"/>
      <c r="B573" s="133"/>
      <c r="C573" s="132"/>
      <c r="D573" s="133"/>
      <c r="E573" s="133"/>
      <c r="F573" s="133"/>
      <c r="G573" s="134"/>
      <c r="H573" s="133"/>
      <c r="I573" s="133"/>
      <c r="J573" s="133"/>
      <c r="K573" s="135"/>
      <c r="L573" s="128"/>
      <c r="M573" s="133"/>
      <c r="N573" s="128"/>
      <c r="O573" s="133"/>
      <c r="P573" s="131"/>
      <c r="Q573" s="133"/>
      <c r="R573" s="54"/>
      <c r="S573" s="134"/>
      <c r="T573" s="133"/>
      <c r="U573" s="149"/>
      <c r="V573" s="134"/>
      <c r="W573" s="136"/>
      <c r="X573" s="136"/>
      <c r="Y573" s="134"/>
      <c r="Z573" s="136"/>
      <c r="AA573" s="128"/>
      <c r="AB573" s="134"/>
      <c r="AC573" s="133"/>
      <c r="AD573" s="133"/>
      <c r="AE573" s="128"/>
      <c r="AF573" s="133"/>
    </row>
    <row r="574" spans="1:32" ht="12.75" customHeight="1" hidden="1">
      <c r="A574" s="133"/>
      <c r="B574" s="133"/>
      <c r="C574" s="132"/>
      <c r="D574" s="133"/>
      <c r="E574" s="133"/>
      <c r="F574" s="133"/>
      <c r="G574" s="134"/>
      <c r="H574" s="133"/>
      <c r="I574" s="133"/>
      <c r="J574" s="133"/>
      <c r="K574" s="135"/>
      <c r="L574" s="128"/>
      <c r="M574" s="133"/>
      <c r="N574" s="128"/>
      <c r="O574" s="133"/>
      <c r="P574" s="131"/>
      <c r="Q574" s="133"/>
      <c r="R574" s="54"/>
      <c r="S574" s="134"/>
      <c r="T574" s="133"/>
      <c r="U574" s="149"/>
      <c r="V574" s="134"/>
      <c r="W574" s="136"/>
      <c r="X574" s="136"/>
      <c r="Y574" s="134"/>
      <c r="Z574" s="136"/>
      <c r="AA574" s="128"/>
      <c r="AB574" s="134"/>
      <c r="AC574" s="133"/>
      <c r="AD574" s="133"/>
      <c r="AE574" s="128"/>
      <c r="AF574" s="133"/>
    </row>
    <row r="575" spans="1:32" ht="12.75" customHeight="1" hidden="1">
      <c r="A575" s="133"/>
      <c r="B575" s="133"/>
      <c r="C575" s="132"/>
      <c r="D575" s="133"/>
      <c r="E575" s="133"/>
      <c r="F575" s="133"/>
      <c r="G575" s="134"/>
      <c r="H575" s="133"/>
      <c r="I575" s="133"/>
      <c r="J575" s="133"/>
      <c r="K575" s="135"/>
      <c r="L575" s="128"/>
      <c r="M575" s="133"/>
      <c r="N575" s="128"/>
      <c r="O575" s="133"/>
      <c r="P575" s="131"/>
      <c r="Q575" s="133"/>
      <c r="R575" s="54"/>
      <c r="S575" s="134"/>
      <c r="T575" s="133"/>
      <c r="U575" s="149"/>
      <c r="V575" s="134"/>
      <c r="W575" s="136"/>
      <c r="X575" s="136"/>
      <c r="Y575" s="134"/>
      <c r="Z575" s="136"/>
      <c r="AA575" s="128"/>
      <c r="AB575" s="134"/>
      <c r="AC575" s="133"/>
      <c r="AD575" s="133"/>
      <c r="AE575" s="128"/>
      <c r="AF575" s="133"/>
    </row>
    <row r="576" spans="1:32" ht="12.75" customHeight="1" hidden="1">
      <c r="A576" s="133"/>
      <c r="B576" s="133"/>
      <c r="C576" s="132"/>
      <c r="D576" s="133"/>
      <c r="E576" s="133"/>
      <c r="F576" s="133"/>
      <c r="G576" s="134"/>
      <c r="H576" s="133"/>
      <c r="I576" s="133"/>
      <c r="J576" s="133"/>
      <c r="K576" s="135"/>
      <c r="L576" s="128"/>
      <c r="M576" s="133"/>
      <c r="N576" s="128"/>
      <c r="O576" s="133"/>
      <c r="P576" s="131"/>
      <c r="Q576" s="133"/>
      <c r="R576" s="54"/>
      <c r="S576" s="134"/>
      <c r="T576" s="133"/>
      <c r="U576" s="149"/>
      <c r="V576" s="134"/>
      <c r="W576" s="136"/>
      <c r="X576" s="136"/>
      <c r="Y576" s="134"/>
      <c r="Z576" s="136"/>
      <c r="AA576" s="128"/>
      <c r="AB576" s="134"/>
      <c r="AC576" s="133"/>
      <c r="AD576" s="133"/>
      <c r="AE576" s="128"/>
      <c r="AF576" s="133"/>
    </row>
    <row r="577" spans="1:32" ht="12.75" customHeight="1" hidden="1">
      <c r="A577" s="133"/>
      <c r="B577" s="133"/>
      <c r="C577" s="132"/>
      <c r="D577" s="133"/>
      <c r="E577" s="133"/>
      <c r="F577" s="133"/>
      <c r="G577" s="134"/>
      <c r="H577" s="133"/>
      <c r="I577" s="133"/>
      <c r="J577" s="133"/>
      <c r="K577" s="135"/>
      <c r="L577" s="128"/>
      <c r="M577" s="133"/>
      <c r="N577" s="128"/>
      <c r="O577" s="133"/>
      <c r="P577" s="131"/>
      <c r="Q577" s="133"/>
      <c r="R577" s="54"/>
      <c r="S577" s="134"/>
      <c r="T577" s="133"/>
      <c r="U577" s="149"/>
      <c r="V577" s="134"/>
      <c r="W577" s="136"/>
      <c r="X577" s="136"/>
      <c r="Y577" s="134"/>
      <c r="Z577" s="136"/>
      <c r="AA577" s="128"/>
      <c r="AB577" s="134"/>
      <c r="AC577" s="133"/>
      <c r="AD577" s="133"/>
      <c r="AE577" s="128"/>
      <c r="AF577" s="133"/>
    </row>
    <row r="578" spans="1:32" ht="12.75" customHeight="1" hidden="1">
      <c r="A578" s="133"/>
      <c r="B578" s="133"/>
      <c r="C578" s="132"/>
      <c r="D578" s="133"/>
      <c r="E578" s="133"/>
      <c r="F578" s="133"/>
      <c r="G578" s="134"/>
      <c r="H578" s="133"/>
      <c r="I578" s="133"/>
      <c r="J578" s="133"/>
      <c r="K578" s="135"/>
      <c r="L578" s="128"/>
      <c r="M578" s="133"/>
      <c r="N578" s="128"/>
      <c r="O578" s="133"/>
      <c r="P578" s="131"/>
      <c r="Q578" s="133"/>
      <c r="R578" s="54"/>
      <c r="S578" s="134"/>
      <c r="T578" s="133"/>
      <c r="U578" s="149"/>
      <c r="V578" s="134"/>
      <c r="W578" s="136"/>
      <c r="X578" s="136"/>
      <c r="Y578" s="134"/>
      <c r="Z578" s="136"/>
      <c r="AA578" s="128"/>
      <c r="AB578" s="134"/>
      <c r="AC578" s="133"/>
      <c r="AD578" s="133"/>
      <c r="AE578" s="128"/>
      <c r="AF578" s="133"/>
    </row>
    <row r="579" spans="1:32" ht="12.75" customHeight="1" hidden="1">
      <c r="A579" s="133"/>
      <c r="B579" s="133"/>
      <c r="C579" s="132"/>
      <c r="D579" s="133"/>
      <c r="E579" s="133"/>
      <c r="F579" s="133"/>
      <c r="G579" s="134"/>
      <c r="H579" s="133"/>
      <c r="I579" s="133"/>
      <c r="J579" s="133"/>
      <c r="K579" s="135"/>
      <c r="L579" s="128"/>
      <c r="M579" s="133"/>
      <c r="N579" s="128"/>
      <c r="O579" s="133"/>
      <c r="P579" s="131"/>
      <c r="Q579" s="133"/>
      <c r="R579" s="54"/>
      <c r="S579" s="134"/>
      <c r="T579" s="133"/>
      <c r="U579" s="149"/>
      <c r="V579" s="134"/>
      <c r="W579" s="136"/>
      <c r="X579" s="136"/>
      <c r="Y579" s="134"/>
      <c r="Z579" s="136"/>
      <c r="AA579" s="128"/>
      <c r="AB579" s="134"/>
      <c r="AC579" s="133"/>
      <c r="AD579" s="133"/>
      <c r="AE579" s="128"/>
      <c r="AF579" s="133"/>
    </row>
    <row r="580" spans="1:32" ht="12.75" customHeight="1" hidden="1">
      <c r="A580" s="133"/>
      <c r="B580" s="133"/>
      <c r="C580" s="132"/>
      <c r="D580" s="133"/>
      <c r="E580" s="133"/>
      <c r="F580" s="133"/>
      <c r="G580" s="134"/>
      <c r="H580" s="133"/>
      <c r="I580" s="133"/>
      <c r="J580" s="133"/>
      <c r="K580" s="135"/>
      <c r="L580" s="128"/>
      <c r="M580" s="133"/>
      <c r="N580" s="128"/>
      <c r="O580" s="133"/>
      <c r="P580" s="131"/>
      <c r="Q580" s="133"/>
      <c r="R580" s="54"/>
      <c r="S580" s="134"/>
      <c r="T580" s="133"/>
      <c r="U580" s="149"/>
      <c r="V580" s="134"/>
      <c r="W580" s="136"/>
      <c r="X580" s="136"/>
      <c r="Y580" s="134"/>
      <c r="Z580" s="136"/>
      <c r="AA580" s="128"/>
      <c r="AB580" s="134"/>
      <c r="AC580" s="133"/>
      <c r="AD580" s="133"/>
      <c r="AE580" s="128"/>
      <c r="AF580" s="133"/>
    </row>
    <row r="581" spans="1:32" ht="12.75" customHeight="1" hidden="1">
      <c r="A581" s="133"/>
      <c r="B581" s="133"/>
      <c r="C581" s="132"/>
      <c r="D581" s="133"/>
      <c r="E581" s="133"/>
      <c r="F581" s="133"/>
      <c r="G581" s="134"/>
      <c r="H581" s="133"/>
      <c r="I581" s="133"/>
      <c r="J581" s="133"/>
      <c r="K581" s="135"/>
      <c r="L581" s="128"/>
      <c r="M581" s="133"/>
      <c r="N581" s="128"/>
      <c r="O581" s="133"/>
      <c r="P581" s="131"/>
      <c r="Q581" s="133"/>
      <c r="R581" s="54"/>
      <c r="S581" s="134"/>
      <c r="T581" s="133"/>
      <c r="U581" s="149"/>
      <c r="V581" s="134"/>
      <c r="W581" s="136"/>
      <c r="X581" s="136"/>
      <c r="Y581" s="134"/>
      <c r="Z581" s="136"/>
      <c r="AA581" s="128"/>
      <c r="AB581" s="134"/>
      <c r="AC581" s="133"/>
      <c r="AD581" s="133"/>
      <c r="AE581" s="128"/>
      <c r="AF581" s="133"/>
    </row>
    <row r="582" spans="1:32" ht="12.75" customHeight="1" hidden="1">
      <c r="A582" s="133"/>
      <c r="B582" s="133"/>
      <c r="C582" s="132"/>
      <c r="D582" s="133"/>
      <c r="E582" s="133"/>
      <c r="F582" s="133"/>
      <c r="G582" s="134"/>
      <c r="H582" s="133"/>
      <c r="I582" s="133"/>
      <c r="J582" s="133"/>
      <c r="K582" s="135"/>
      <c r="L582" s="128"/>
      <c r="M582" s="133"/>
      <c r="N582" s="128"/>
      <c r="O582" s="133"/>
      <c r="P582" s="131"/>
      <c r="Q582" s="133"/>
      <c r="R582" s="54"/>
      <c r="S582" s="134"/>
      <c r="T582" s="133"/>
      <c r="U582" s="149"/>
      <c r="V582" s="134"/>
      <c r="W582" s="136"/>
      <c r="X582" s="136"/>
      <c r="Y582" s="134"/>
      <c r="Z582" s="136"/>
      <c r="AA582" s="128"/>
      <c r="AB582" s="134"/>
      <c r="AC582" s="133"/>
      <c r="AD582" s="133"/>
      <c r="AE582" s="128"/>
      <c r="AF582" s="133"/>
    </row>
    <row r="583" spans="1:32" ht="12.75" customHeight="1" hidden="1">
      <c r="A583" s="133"/>
      <c r="B583" s="133"/>
      <c r="C583" s="132"/>
      <c r="D583" s="133"/>
      <c r="E583" s="133"/>
      <c r="F583" s="133"/>
      <c r="G583" s="134"/>
      <c r="H583" s="133"/>
      <c r="I583" s="133"/>
      <c r="J583" s="133"/>
      <c r="K583" s="135"/>
      <c r="L583" s="128"/>
      <c r="M583" s="133"/>
      <c r="N583" s="128"/>
      <c r="O583" s="133"/>
      <c r="P583" s="131"/>
      <c r="Q583" s="133"/>
      <c r="R583" s="54"/>
      <c r="S583" s="134"/>
      <c r="T583" s="133"/>
      <c r="U583" s="149"/>
      <c r="V583" s="134"/>
      <c r="W583" s="136"/>
      <c r="X583" s="136"/>
      <c r="Y583" s="134"/>
      <c r="Z583" s="136"/>
      <c r="AA583" s="128"/>
      <c r="AB583" s="134"/>
      <c r="AC583" s="133"/>
      <c r="AD583" s="133"/>
      <c r="AE583" s="128"/>
      <c r="AF583" s="133"/>
    </row>
    <row r="584" spans="1:32" ht="12.75" customHeight="1" hidden="1">
      <c r="A584" s="133"/>
      <c r="B584" s="133"/>
      <c r="C584" s="132"/>
      <c r="D584" s="133"/>
      <c r="E584" s="133"/>
      <c r="F584" s="133"/>
      <c r="G584" s="134"/>
      <c r="H584" s="133"/>
      <c r="I584" s="133"/>
      <c r="J584" s="133"/>
      <c r="K584" s="135"/>
      <c r="L584" s="128"/>
      <c r="M584" s="133"/>
      <c r="N584" s="128"/>
      <c r="O584" s="133"/>
      <c r="P584" s="131"/>
      <c r="Q584" s="133"/>
      <c r="R584" s="54"/>
      <c r="S584" s="134"/>
      <c r="T584" s="133"/>
      <c r="U584" s="149"/>
      <c r="V584" s="134"/>
      <c r="W584" s="136"/>
      <c r="X584" s="136"/>
      <c r="Y584" s="134"/>
      <c r="Z584" s="136"/>
      <c r="AA584" s="128"/>
      <c r="AB584" s="134"/>
      <c r="AC584" s="133"/>
      <c r="AD584" s="133"/>
      <c r="AE584" s="128"/>
      <c r="AF584" s="133"/>
    </row>
    <row r="585" spans="1:32" ht="12.75" customHeight="1" hidden="1">
      <c r="A585" s="133"/>
      <c r="B585" s="133"/>
      <c r="C585" s="132"/>
      <c r="D585" s="133"/>
      <c r="E585" s="133"/>
      <c r="F585" s="133"/>
      <c r="G585" s="134"/>
      <c r="H585" s="133"/>
      <c r="I585" s="133"/>
      <c r="J585" s="133"/>
      <c r="K585" s="135"/>
      <c r="L585" s="128"/>
      <c r="M585" s="133"/>
      <c r="N585" s="128"/>
      <c r="O585" s="133"/>
      <c r="P585" s="131"/>
      <c r="Q585" s="133"/>
      <c r="R585" s="54"/>
      <c r="S585" s="134"/>
      <c r="T585" s="133"/>
      <c r="U585" s="149"/>
      <c r="V585" s="134"/>
      <c r="W585" s="136"/>
      <c r="X585" s="136"/>
      <c r="Y585" s="134"/>
      <c r="Z585" s="136"/>
      <c r="AA585" s="128"/>
      <c r="AB585" s="134"/>
      <c r="AC585" s="133"/>
      <c r="AD585" s="133"/>
      <c r="AE585" s="128"/>
      <c r="AF585" s="133"/>
    </row>
    <row r="586" spans="1:32" ht="12.75" customHeight="1" hidden="1">
      <c r="A586" s="133"/>
      <c r="B586" s="133"/>
      <c r="C586" s="132"/>
      <c r="D586" s="133"/>
      <c r="E586" s="133"/>
      <c r="F586" s="133"/>
      <c r="G586" s="134"/>
      <c r="H586" s="133"/>
      <c r="I586" s="133"/>
      <c r="J586" s="133"/>
      <c r="K586" s="135"/>
      <c r="L586" s="128"/>
      <c r="M586" s="133"/>
      <c r="N586" s="128"/>
      <c r="O586" s="133"/>
      <c r="P586" s="131"/>
      <c r="Q586" s="133"/>
      <c r="R586" s="54"/>
      <c r="S586" s="134"/>
      <c r="T586" s="133"/>
      <c r="U586" s="149"/>
      <c r="V586" s="134"/>
      <c r="W586" s="136"/>
      <c r="X586" s="136"/>
      <c r="Y586" s="134"/>
      <c r="Z586" s="136"/>
      <c r="AA586" s="128"/>
      <c r="AB586" s="134"/>
      <c r="AC586" s="133"/>
      <c r="AD586" s="133"/>
      <c r="AE586" s="128"/>
      <c r="AF586" s="133"/>
    </row>
    <row r="587" spans="1:32" ht="12.75" customHeight="1" hidden="1">
      <c r="A587" s="133"/>
      <c r="B587" s="133"/>
      <c r="C587" s="132"/>
      <c r="D587" s="133"/>
      <c r="E587" s="133"/>
      <c r="F587" s="133"/>
      <c r="G587" s="134"/>
      <c r="H587" s="133"/>
      <c r="I587" s="133"/>
      <c r="J587" s="133"/>
      <c r="K587" s="135"/>
      <c r="L587" s="128"/>
      <c r="M587" s="133"/>
      <c r="N587" s="128"/>
      <c r="O587" s="133"/>
      <c r="P587" s="131"/>
      <c r="Q587" s="133"/>
      <c r="R587" s="54"/>
      <c r="S587" s="134"/>
      <c r="T587" s="133"/>
      <c r="U587" s="149"/>
      <c r="V587" s="134"/>
      <c r="W587" s="136"/>
      <c r="X587" s="136"/>
      <c r="Y587" s="134"/>
      <c r="Z587" s="136"/>
      <c r="AA587" s="128"/>
      <c r="AB587" s="134"/>
      <c r="AC587" s="133"/>
      <c r="AD587" s="133"/>
      <c r="AE587" s="128"/>
      <c r="AF587" s="133"/>
    </row>
    <row r="588" spans="1:32" ht="12.75" customHeight="1" hidden="1">
      <c r="A588" s="133"/>
      <c r="B588" s="133"/>
      <c r="C588" s="132"/>
      <c r="D588" s="133"/>
      <c r="E588" s="133"/>
      <c r="F588" s="133"/>
      <c r="G588" s="134"/>
      <c r="H588" s="133"/>
      <c r="I588" s="133"/>
      <c r="J588" s="133"/>
      <c r="K588" s="135"/>
      <c r="L588" s="128"/>
      <c r="M588" s="133"/>
      <c r="N588" s="128"/>
      <c r="O588" s="133"/>
      <c r="P588" s="131"/>
      <c r="Q588" s="133"/>
      <c r="R588" s="54"/>
      <c r="S588" s="134"/>
      <c r="T588" s="133"/>
      <c r="U588" s="149"/>
      <c r="V588" s="134"/>
      <c r="W588" s="136"/>
      <c r="X588" s="136"/>
      <c r="Y588" s="134"/>
      <c r="Z588" s="136"/>
      <c r="AA588" s="128"/>
      <c r="AB588" s="134"/>
      <c r="AC588" s="133"/>
      <c r="AD588" s="133"/>
      <c r="AE588" s="128"/>
      <c r="AF588" s="133"/>
    </row>
    <row r="589" spans="1:32" ht="12.75" customHeight="1" hidden="1">
      <c r="A589" s="133"/>
      <c r="B589" s="133"/>
      <c r="C589" s="132"/>
      <c r="D589" s="133"/>
      <c r="E589" s="133"/>
      <c r="F589" s="133"/>
      <c r="G589" s="134"/>
      <c r="H589" s="133"/>
      <c r="I589" s="133"/>
      <c r="J589" s="133"/>
      <c r="K589" s="135"/>
      <c r="L589" s="128"/>
      <c r="M589" s="133"/>
      <c r="N589" s="128"/>
      <c r="O589" s="133"/>
      <c r="P589" s="131"/>
      <c r="Q589" s="133"/>
      <c r="R589" s="54"/>
      <c r="S589" s="134"/>
      <c r="T589" s="133"/>
      <c r="U589" s="149"/>
      <c r="V589" s="134"/>
      <c r="W589" s="136"/>
      <c r="X589" s="136"/>
      <c r="Y589" s="134"/>
      <c r="Z589" s="136"/>
      <c r="AA589" s="128"/>
      <c r="AB589" s="134"/>
      <c r="AC589" s="133"/>
      <c r="AD589" s="133"/>
      <c r="AE589" s="128"/>
      <c r="AF589" s="133"/>
    </row>
    <row r="590" spans="1:32" ht="12.75" customHeight="1" hidden="1">
      <c r="A590" s="133"/>
      <c r="B590" s="133"/>
      <c r="C590" s="132"/>
      <c r="D590" s="133"/>
      <c r="E590" s="133"/>
      <c r="F590" s="133"/>
      <c r="G590" s="134"/>
      <c r="H590" s="133"/>
      <c r="I590" s="133"/>
      <c r="J590" s="133"/>
      <c r="K590" s="135"/>
      <c r="L590" s="128"/>
      <c r="M590" s="133"/>
      <c r="N590" s="128"/>
      <c r="O590" s="133"/>
      <c r="P590" s="131"/>
      <c r="Q590" s="133"/>
      <c r="R590" s="54"/>
      <c r="S590" s="134"/>
      <c r="T590" s="133"/>
      <c r="U590" s="149"/>
      <c r="V590" s="134"/>
      <c r="W590" s="136"/>
      <c r="X590" s="136"/>
      <c r="Y590" s="134"/>
      <c r="Z590" s="136"/>
      <c r="AA590" s="128"/>
      <c r="AB590" s="134"/>
      <c r="AC590" s="133"/>
      <c r="AD590" s="133"/>
      <c r="AE590" s="128"/>
      <c r="AF590" s="133"/>
    </row>
    <row r="591" spans="1:32" ht="12.75" customHeight="1" hidden="1">
      <c r="A591" s="133"/>
      <c r="B591" s="133"/>
      <c r="C591" s="132"/>
      <c r="D591" s="133"/>
      <c r="E591" s="133"/>
      <c r="F591" s="133"/>
      <c r="G591" s="134"/>
      <c r="H591" s="133"/>
      <c r="I591" s="133"/>
      <c r="J591" s="133"/>
      <c r="K591" s="135"/>
      <c r="L591" s="128"/>
      <c r="M591" s="133"/>
      <c r="N591" s="128"/>
      <c r="O591" s="133"/>
      <c r="P591" s="131"/>
      <c r="Q591" s="133"/>
      <c r="R591" s="54"/>
      <c r="S591" s="134"/>
      <c r="T591" s="133"/>
      <c r="U591" s="149"/>
      <c r="V591" s="134"/>
      <c r="W591" s="136"/>
      <c r="X591" s="136"/>
      <c r="Y591" s="134"/>
      <c r="Z591" s="136"/>
      <c r="AA591" s="128"/>
      <c r="AB591" s="134"/>
      <c r="AC591" s="133"/>
      <c r="AD591" s="133"/>
      <c r="AE591" s="128"/>
      <c r="AF591" s="133"/>
    </row>
    <row r="592" spans="1:32" ht="12.75" customHeight="1" hidden="1">
      <c r="A592" s="133"/>
      <c r="B592" s="133"/>
      <c r="C592" s="132"/>
      <c r="D592" s="133"/>
      <c r="E592" s="133"/>
      <c r="F592" s="133"/>
      <c r="G592" s="134"/>
      <c r="H592" s="133"/>
      <c r="I592" s="133"/>
      <c r="J592" s="133"/>
      <c r="K592" s="135"/>
      <c r="L592" s="128"/>
      <c r="M592" s="133"/>
      <c r="N592" s="128"/>
      <c r="O592" s="133"/>
      <c r="P592" s="131"/>
      <c r="Q592" s="133"/>
      <c r="R592" s="54"/>
      <c r="S592" s="134"/>
      <c r="T592" s="133"/>
      <c r="U592" s="149"/>
      <c r="V592" s="134"/>
      <c r="W592" s="136"/>
      <c r="X592" s="136"/>
      <c r="Y592" s="134"/>
      <c r="Z592" s="136"/>
      <c r="AA592" s="128"/>
      <c r="AB592" s="134"/>
      <c r="AC592" s="133"/>
      <c r="AD592" s="133"/>
      <c r="AE592" s="128"/>
      <c r="AF592" s="133"/>
    </row>
    <row r="593" spans="1:32" ht="12.75" customHeight="1" hidden="1">
      <c r="A593" s="133"/>
      <c r="B593" s="133"/>
      <c r="C593" s="132"/>
      <c r="D593" s="133"/>
      <c r="E593" s="133"/>
      <c r="F593" s="133"/>
      <c r="G593" s="134"/>
      <c r="H593" s="133"/>
      <c r="I593" s="133"/>
      <c r="J593" s="133"/>
      <c r="K593" s="135"/>
      <c r="L593" s="128"/>
      <c r="M593" s="133"/>
      <c r="N593" s="128"/>
      <c r="O593" s="133"/>
      <c r="P593" s="131"/>
      <c r="Q593" s="133"/>
      <c r="R593" s="54"/>
      <c r="S593" s="134"/>
      <c r="T593" s="133"/>
      <c r="U593" s="149"/>
      <c r="V593" s="134"/>
      <c r="W593" s="136"/>
      <c r="X593" s="136"/>
      <c r="Y593" s="134"/>
      <c r="Z593" s="136"/>
      <c r="AA593" s="128"/>
      <c r="AB593" s="134"/>
      <c r="AC593" s="133"/>
      <c r="AD593" s="133"/>
      <c r="AE593" s="128"/>
      <c r="AF593" s="133"/>
    </row>
    <row r="594" spans="1:32" ht="12.75" customHeight="1" hidden="1">
      <c r="A594" s="133"/>
      <c r="B594" s="133"/>
      <c r="C594" s="132"/>
      <c r="D594" s="133"/>
      <c r="E594" s="133"/>
      <c r="F594" s="133"/>
      <c r="G594" s="134"/>
      <c r="H594" s="133"/>
      <c r="I594" s="133"/>
      <c r="J594" s="133"/>
      <c r="K594" s="135"/>
      <c r="L594" s="128"/>
      <c r="M594" s="133"/>
      <c r="N594" s="128"/>
      <c r="O594" s="133"/>
      <c r="P594" s="131"/>
      <c r="Q594" s="133"/>
      <c r="R594" s="54"/>
      <c r="S594" s="134"/>
      <c r="T594" s="133"/>
      <c r="U594" s="149"/>
      <c r="V594" s="134"/>
      <c r="W594" s="136"/>
      <c r="X594" s="136"/>
      <c r="Y594" s="134"/>
      <c r="Z594" s="136"/>
      <c r="AA594" s="128"/>
      <c r="AB594" s="134"/>
      <c r="AC594" s="133"/>
      <c r="AD594" s="133"/>
      <c r="AE594" s="128"/>
      <c r="AF594" s="133"/>
    </row>
    <row r="595" spans="1:32" ht="12.75" customHeight="1" hidden="1">
      <c r="A595" s="133"/>
      <c r="B595" s="133"/>
      <c r="C595" s="132"/>
      <c r="D595" s="133"/>
      <c r="E595" s="133"/>
      <c r="F595" s="133"/>
      <c r="G595" s="134"/>
      <c r="H595" s="133"/>
      <c r="I595" s="133"/>
      <c r="J595" s="133"/>
      <c r="K595" s="135"/>
      <c r="L595" s="128"/>
      <c r="M595" s="133"/>
      <c r="N595" s="128"/>
      <c r="O595" s="133"/>
      <c r="P595" s="131"/>
      <c r="Q595" s="133"/>
      <c r="R595" s="54"/>
      <c r="S595" s="134"/>
      <c r="T595" s="133"/>
      <c r="U595" s="149"/>
      <c r="V595" s="134"/>
      <c r="W595" s="136"/>
      <c r="X595" s="136"/>
      <c r="Y595" s="134"/>
      <c r="Z595" s="136"/>
      <c r="AA595" s="128"/>
      <c r="AB595" s="134"/>
      <c r="AC595" s="133"/>
      <c r="AD595" s="133"/>
      <c r="AE595" s="128"/>
      <c r="AF595" s="133"/>
    </row>
    <row r="596" spans="1:32" ht="12.75" customHeight="1" hidden="1">
      <c r="A596" s="133"/>
      <c r="B596" s="133"/>
      <c r="C596" s="132"/>
      <c r="D596" s="133"/>
      <c r="E596" s="133"/>
      <c r="F596" s="133"/>
      <c r="G596" s="134"/>
      <c r="H596" s="133"/>
      <c r="I596" s="133"/>
      <c r="J596" s="133"/>
      <c r="K596" s="135"/>
      <c r="L596" s="128"/>
      <c r="M596" s="133"/>
      <c r="N596" s="128"/>
      <c r="O596" s="133"/>
      <c r="P596" s="131"/>
      <c r="Q596" s="133"/>
      <c r="R596" s="54"/>
      <c r="S596" s="134"/>
      <c r="T596" s="133"/>
      <c r="U596" s="149"/>
      <c r="V596" s="134"/>
      <c r="W596" s="136"/>
      <c r="X596" s="136"/>
      <c r="Y596" s="134"/>
      <c r="Z596" s="136"/>
      <c r="AA596" s="128"/>
      <c r="AB596" s="134"/>
      <c r="AC596" s="133"/>
      <c r="AD596" s="133"/>
      <c r="AE596" s="128"/>
      <c r="AF596" s="133"/>
    </row>
    <row r="597" spans="1:32" ht="12.75" customHeight="1" hidden="1">
      <c r="A597" s="133"/>
      <c r="B597" s="133"/>
      <c r="C597" s="132"/>
      <c r="D597" s="133"/>
      <c r="E597" s="133"/>
      <c r="F597" s="133"/>
      <c r="G597" s="134"/>
      <c r="H597" s="133"/>
      <c r="I597" s="133"/>
      <c r="J597" s="133"/>
      <c r="K597" s="135"/>
      <c r="L597" s="128"/>
      <c r="M597" s="133"/>
      <c r="N597" s="128"/>
      <c r="O597" s="133"/>
      <c r="P597" s="131"/>
      <c r="Q597" s="133"/>
      <c r="R597" s="54"/>
      <c r="S597" s="134"/>
      <c r="T597" s="133"/>
      <c r="U597" s="149"/>
      <c r="V597" s="134"/>
      <c r="W597" s="136"/>
      <c r="X597" s="136"/>
      <c r="Y597" s="134"/>
      <c r="Z597" s="136"/>
      <c r="AA597" s="128"/>
      <c r="AB597" s="134"/>
      <c r="AC597" s="133"/>
      <c r="AD597" s="133"/>
      <c r="AE597" s="128"/>
      <c r="AF597" s="133"/>
    </row>
    <row r="598" spans="1:32" ht="12.75" customHeight="1" hidden="1">
      <c r="A598" s="133"/>
      <c r="B598" s="133"/>
      <c r="C598" s="132"/>
      <c r="D598" s="133"/>
      <c r="E598" s="133"/>
      <c r="F598" s="133"/>
      <c r="G598" s="134"/>
      <c r="H598" s="133"/>
      <c r="I598" s="133"/>
      <c r="J598" s="133"/>
      <c r="K598" s="135"/>
      <c r="L598" s="128"/>
      <c r="M598" s="133"/>
      <c r="N598" s="128"/>
      <c r="O598" s="133"/>
      <c r="P598" s="131"/>
      <c r="Q598" s="133"/>
      <c r="R598" s="54"/>
      <c r="S598" s="134"/>
      <c r="T598" s="133"/>
      <c r="U598" s="149"/>
      <c r="V598" s="134"/>
      <c r="W598" s="136"/>
      <c r="X598" s="136"/>
      <c r="Y598" s="134"/>
      <c r="Z598" s="136"/>
      <c r="AA598" s="128"/>
      <c r="AB598" s="134"/>
      <c r="AC598" s="133"/>
      <c r="AD598" s="133"/>
      <c r="AE598" s="128"/>
      <c r="AF598" s="133"/>
    </row>
    <row r="599" spans="1:32" ht="12.75" customHeight="1" hidden="1">
      <c r="A599" s="133"/>
      <c r="B599" s="133"/>
      <c r="C599" s="132"/>
      <c r="D599" s="133"/>
      <c r="E599" s="133"/>
      <c r="F599" s="133"/>
      <c r="G599" s="134"/>
      <c r="H599" s="133"/>
      <c r="I599" s="133"/>
      <c r="J599" s="133"/>
      <c r="K599" s="135"/>
      <c r="L599" s="128"/>
      <c r="M599" s="133"/>
      <c r="N599" s="128"/>
      <c r="O599" s="133"/>
      <c r="P599" s="131"/>
      <c r="Q599" s="133"/>
      <c r="R599" s="54"/>
      <c r="S599" s="134"/>
      <c r="T599" s="133"/>
      <c r="U599" s="149"/>
      <c r="V599" s="134"/>
      <c r="W599" s="136"/>
      <c r="X599" s="136"/>
      <c r="Y599" s="134"/>
      <c r="Z599" s="136"/>
      <c r="AA599" s="128"/>
      <c r="AB599" s="134"/>
      <c r="AC599" s="133"/>
      <c r="AD599" s="133"/>
      <c r="AE599" s="128"/>
      <c r="AF599" s="133"/>
    </row>
    <row r="600" spans="1:32" ht="12.75" customHeight="1" hidden="1">
      <c r="A600" s="133"/>
      <c r="B600" s="133"/>
      <c r="C600" s="132"/>
      <c r="D600" s="133"/>
      <c r="E600" s="133"/>
      <c r="F600" s="133"/>
      <c r="G600" s="134"/>
      <c r="H600" s="133"/>
      <c r="I600" s="133"/>
      <c r="J600" s="133"/>
      <c r="K600" s="135"/>
      <c r="L600" s="128"/>
      <c r="M600" s="133"/>
      <c r="N600" s="128"/>
      <c r="O600" s="133"/>
      <c r="P600" s="131"/>
      <c r="Q600" s="133"/>
      <c r="R600" s="54"/>
      <c r="S600" s="134"/>
      <c r="T600" s="133"/>
      <c r="U600" s="149"/>
      <c r="V600" s="134"/>
      <c r="W600" s="136"/>
      <c r="X600" s="136"/>
      <c r="Y600" s="134"/>
      <c r="Z600" s="136"/>
      <c r="AA600" s="128"/>
      <c r="AB600" s="134"/>
      <c r="AC600" s="133"/>
      <c r="AD600" s="133"/>
      <c r="AE600" s="128"/>
      <c r="AF600" s="133"/>
    </row>
    <row r="601" spans="1:32" ht="12.75" customHeight="1" hidden="1">
      <c r="A601" s="133"/>
      <c r="B601" s="133"/>
      <c r="C601" s="132"/>
      <c r="D601" s="133"/>
      <c r="E601" s="133"/>
      <c r="F601" s="133"/>
      <c r="G601" s="134"/>
      <c r="H601" s="133"/>
      <c r="I601" s="133"/>
      <c r="J601" s="133"/>
      <c r="K601" s="135"/>
      <c r="L601" s="128"/>
      <c r="M601" s="133"/>
      <c r="N601" s="128"/>
      <c r="O601" s="133"/>
      <c r="P601" s="131"/>
      <c r="Q601" s="133"/>
      <c r="R601" s="54"/>
      <c r="S601" s="134"/>
      <c r="T601" s="133"/>
      <c r="U601" s="149"/>
      <c r="V601" s="134"/>
      <c r="W601" s="136"/>
      <c r="X601" s="136"/>
      <c r="Y601" s="134"/>
      <c r="Z601" s="136"/>
      <c r="AA601" s="128"/>
      <c r="AB601" s="134"/>
      <c r="AC601" s="133"/>
      <c r="AD601" s="133"/>
      <c r="AE601" s="128"/>
      <c r="AF601" s="133"/>
    </row>
    <row r="602" spans="1:32" ht="12.75" customHeight="1" hidden="1">
      <c r="A602" s="133"/>
      <c r="B602" s="133"/>
      <c r="C602" s="132"/>
      <c r="D602" s="133"/>
      <c r="E602" s="133"/>
      <c r="F602" s="133"/>
      <c r="G602" s="134"/>
      <c r="H602" s="133"/>
      <c r="I602" s="133"/>
      <c r="J602" s="133"/>
      <c r="K602" s="135"/>
      <c r="L602" s="128"/>
      <c r="M602" s="133"/>
      <c r="N602" s="128"/>
      <c r="O602" s="133"/>
      <c r="P602" s="131"/>
      <c r="Q602" s="133"/>
      <c r="R602" s="54"/>
      <c r="S602" s="134"/>
      <c r="T602" s="133"/>
      <c r="U602" s="149"/>
      <c r="V602" s="134"/>
      <c r="W602" s="136"/>
      <c r="X602" s="136"/>
      <c r="Y602" s="134"/>
      <c r="Z602" s="136"/>
      <c r="AA602" s="128"/>
      <c r="AB602" s="134"/>
      <c r="AC602" s="133"/>
      <c r="AD602" s="133"/>
      <c r="AE602" s="128"/>
      <c r="AF602" s="133"/>
    </row>
    <row r="603" spans="1:32" ht="12.75" customHeight="1" hidden="1">
      <c r="A603" s="133"/>
      <c r="B603" s="133"/>
      <c r="C603" s="132"/>
      <c r="D603" s="133"/>
      <c r="E603" s="133"/>
      <c r="F603" s="133"/>
      <c r="G603" s="134"/>
      <c r="H603" s="133"/>
      <c r="I603" s="133"/>
      <c r="J603" s="133"/>
      <c r="K603" s="135"/>
      <c r="L603" s="128"/>
      <c r="M603" s="133"/>
      <c r="N603" s="128"/>
      <c r="O603" s="133"/>
      <c r="P603" s="131"/>
      <c r="Q603" s="133"/>
      <c r="R603" s="54"/>
      <c r="S603" s="134"/>
      <c r="T603" s="133"/>
      <c r="U603" s="149"/>
      <c r="V603" s="134"/>
      <c r="W603" s="136"/>
      <c r="X603" s="136"/>
      <c r="Y603" s="134"/>
      <c r="Z603" s="136"/>
      <c r="AA603" s="128"/>
      <c r="AB603" s="134"/>
      <c r="AC603" s="133"/>
      <c r="AD603" s="133"/>
      <c r="AE603" s="128"/>
      <c r="AF603" s="133"/>
    </row>
    <row r="604" spans="1:32" ht="12.75" customHeight="1" hidden="1">
      <c r="A604" s="133"/>
      <c r="B604" s="133"/>
      <c r="C604" s="132"/>
      <c r="D604" s="133"/>
      <c r="E604" s="133"/>
      <c r="F604" s="133"/>
      <c r="G604" s="134"/>
      <c r="H604" s="133"/>
      <c r="I604" s="133"/>
      <c r="J604" s="133"/>
      <c r="K604" s="135"/>
      <c r="L604" s="128"/>
      <c r="M604" s="133"/>
      <c r="N604" s="128"/>
      <c r="O604" s="133"/>
      <c r="P604" s="131"/>
      <c r="Q604" s="133"/>
      <c r="R604" s="54"/>
      <c r="S604" s="134"/>
      <c r="T604" s="133"/>
      <c r="U604" s="149"/>
      <c r="V604" s="134"/>
      <c r="W604" s="136"/>
      <c r="X604" s="136"/>
      <c r="Y604" s="134"/>
      <c r="Z604" s="136"/>
      <c r="AA604" s="128"/>
      <c r="AB604" s="134"/>
      <c r="AC604" s="133"/>
      <c r="AD604" s="133"/>
      <c r="AE604" s="128"/>
      <c r="AF604" s="133"/>
    </row>
    <row r="605" spans="1:32" ht="12.75" customHeight="1" hidden="1">
      <c r="A605" s="133"/>
      <c r="B605" s="133"/>
      <c r="C605" s="132"/>
      <c r="D605" s="133"/>
      <c r="E605" s="133"/>
      <c r="F605" s="133"/>
      <c r="G605" s="134"/>
      <c r="H605" s="133"/>
      <c r="I605" s="133"/>
      <c r="J605" s="133"/>
      <c r="K605" s="135"/>
      <c r="L605" s="128"/>
      <c r="M605" s="133"/>
      <c r="N605" s="128"/>
      <c r="O605" s="133"/>
      <c r="P605" s="131"/>
      <c r="Q605" s="133"/>
      <c r="R605" s="54"/>
      <c r="S605" s="134"/>
      <c r="T605" s="133"/>
      <c r="U605" s="149"/>
      <c r="V605" s="134"/>
      <c r="W605" s="136"/>
      <c r="X605" s="136"/>
      <c r="Y605" s="134"/>
      <c r="Z605" s="136"/>
      <c r="AA605" s="128"/>
      <c r="AB605" s="134"/>
      <c r="AC605" s="133"/>
      <c r="AD605" s="133"/>
      <c r="AE605" s="128"/>
      <c r="AF605" s="133"/>
    </row>
    <row r="606" spans="1:32" ht="12.75" customHeight="1" hidden="1">
      <c r="A606" s="133"/>
      <c r="B606" s="133"/>
      <c r="C606" s="132"/>
      <c r="D606" s="133"/>
      <c r="E606" s="133"/>
      <c r="F606" s="133"/>
      <c r="G606" s="134"/>
      <c r="H606" s="133"/>
      <c r="I606" s="133"/>
      <c r="J606" s="133"/>
      <c r="K606" s="135"/>
      <c r="L606" s="128"/>
      <c r="M606" s="133"/>
      <c r="N606" s="128"/>
      <c r="O606" s="133"/>
      <c r="P606" s="131"/>
      <c r="Q606" s="133"/>
      <c r="R606" s="54"/>
      <c r="S606" s="134"/>
      <c r="T606" s="133"/>
      <c r="U606" s="149"/>
      <c r="V606" s="134"/>
      <c r="W606" s="136"/>
      <c r="X606" s="136"/>
      <c r="Y606" s="134"/>
      <c r="Z606" s="136"/>
      <c r="AA606" s="128"/>
      <c r="AB606" s="134"/>
      <c r="AC606" s="133"/>
      <c r="AD606" s="133"/>
      <c r="AE606" s="128"/>
      <c r="AF606" s="133"/>
    </row>
    <row r="607" spans="1:32" ht="12.75" customHeight="1" hidden="1">
      <c r="A607" s="133"/>
      <c r="B607" s="133"/>
      <c r="C607" s="132"/>
      <c r="D607" s="133"/>
      <c r="E607" s="133"/>
      <c r="F607" s="133"/>
      <c r="G607" s="134"/>
      <c r="H607" s="133"/>
      <c r="I607" s="133"/>
      <c r="J607" s="133"/>
      <c r="K607" s="135"/>
      <c r="L607" s="128"/>
      <c r="M607" s="133"/>
      <c r="N607" s="128"/>
      <c r="O607" s="133"/>
      <c r="P607" s="131"/>
      <c r="Q607" s="133"/>
      <c r="R607" s="54"/>
      <c r="S607" s="134"/>
      <c r="T607" s="133"/>
      <c r="U607" s="149"/>
      <c r="V607" s="134"/>
      <c r="W607" s="136"/>
      <c r="X607" s="136"/>
      <c r="Y607" s="134"/>
      <c r="Z607" s="136"/>
      <c r="AA607" s="128"/>
      <c r="AB607" s="134"/>
      <c r="AC607" s="133"/>
      <c r="AD607" s="133"/>
      <c r="AE607" s="128"/>
      <c r="AF607" s="133"/>
    </row>
    <row r="608" spans="1:32" ht="12.75" customHeight="1" hidden="1">
      <c r="A608" s="133"/>
      <c r="B608" s="133"/>
      <c r="C608" s="132"/>
      <c r="D608" s="133"/>
      <c r="E608" s="133"/>
      <c r="F608" s="133"/>
      <c r="G608" s="134"/>
      <c r="H608" s="133"/>
      <c r="I608" s="133"/>
      <c r="J608" s="133"/>
      <c r="K608" s="135"/>
      <c r="L608" s="128"/>
      <c r="M608" s="133"/>
      <c r="N608" s="128"/>
      <c r="O608" s="133"/>
      <c r="P608" s="131"/>
      <c r="Q608" s="133"/>
      <c r="R608" s="54"/>
      <c r="S608" s="134"/>
      <c r="T608" s="133"/>
      <c r="U608" s="149"/>
      <c r="V608" s="134"/>
      <c r="W608" s="136"/>
      <c r="X608" s="136"/>
      <c r="Y608" s="134"/>
      <c r="Z608" s="136"/>
      <c r="AA608" s="128"/>
      <c r="AB608" s="134"/>
      <c r="AC608" s="133"/>
      <c r="AD608" s="133"/>
      <c r="AE608" s="128"/>
      <c r="AF608" s="133"/>
    </row>
    <row r="609" spans="1:32" ht="12.75" customHeight="1" hidden="1">
      <c r="A609" s="133"/>
      <c r="B609" s="133"/>
      <c r="C609" s="132"/>
      <c r="D609" s="133"/>
      <c r="E609" s="133"/>
      <c r="F609" s="133"/>
      <c r="G609" s="134"/>
      <c r="H609" s="133"/>
      <c r="I609" s="133"/>
      <c r="J609" s="133"/>
      <c r="K609" s="135"/>
      <c r="L609" s="128"/>
      <c r="M609" s="133"/>
      <c r="N609" s="128"/>
      <c r="O609" s="133"/>
      <c r="P609" s="131"/>
      <c r="Q609" s="133"/>
      <c r="R609" s="54"/>
      <c r="S609" s="134"/>
      <c r="T609" s="133"/>
      <c r="U609" s="149"/>
      <c r="V609" s="134"/>
      <c r="W609" s="136"/>
      <c r="X609" s="136"/>
      <c r="Y609" s="134"/>
      <c r="Z609" s="136"/>
      <c r="AA609" s="128"/>
      <c r="AB609" s="134"/>
      <c r="AC609" s="133"/>
      <c r="AD609" s="133"/>
      <c r="AE609" s="128"/>
      <c r="AF609" s="133"/>
    </row>
    <row r="610" ht="12.75" customHeight="1" hidden="1"/>
    <row r="611" ht="12.75" customHeight="1" hidden="1"/>
    <row r="612" ht="12.75" customHeight="1" hidden="1"/>
    <row r="613" ht="12.75" customHeight="1" hidden="1"/>
    <row r="614" ht="12.75" customHeight="1"/>
    <row r="615" ht="12.75" customHeight="1"/>
    <row r="616" ht="12.75" customHeight="1"/>
    <row r="617" ht="12.75" customHeight="1"/>
  </sheetData>
  <sheetProtection password="D64A" sheet="1" scenarios="1" insertHyperlinks="0"/>
  <mergeCells count="92">
    <mergeCell ref="C93:D93"/>
    <mergeCell ref="C94:D94"/>
    <mergeCell ref="C95:D95"/>
    <mergeCell ref="H93:N93"/>
    <mergeCell ref="E94:N94"/>
    <mergeCell ref="E95:N95"/>
    <mergeCell ref="F103:AE103"/>
    <mergeCell ref="O98:Q98"/>
    <mergeCell ref="R98:T98"/>
    <mergeCell ref="W89:AE95"/>
    <mergeCell ref="U89:V89"/>
    <mergeCell ref="E90:N90"/>
    <mergeCell ref="E91:N91"/>
    <mergeCell ref="G98:I98"/>
    <mergeCell ref="K98:N98"/>
    <mergeCell ref="H6:O6"/>
    <mergeCell ref="C91:D91"/>
    <mergeCell ref="U86:V86"/>
    <mergeCell ref="U87:V87"/>
    <mergeCell ref="E86:N86"/>
    <mergeCell ref="E87:N87"/>
    <mergeCell ref="C87:D87"/>
    <mergeCell ref="F89:G89"/>
    <mergeCell ref="H89:N89"/>
    <mergeCell ref="C86:D86"/>
    <mergeCell ref="Q21:T21"/>
    <mergeCell ref="Q22:T22"/>
    <mergeCell ref="C17:D17"/>
    <mergeCell ref="E18:L18"/>
    <mergeCell ref="E19:L19"/>
    <mergeCell ref="E21:L21"/>
    <mergeCell ref="E22:L22"/>
    <mergeCell ref="E24:L24"/>
    <mergeCell ref="E25:L25"/>
    <mergeCell ref="C21:D21"/>
    <mergeCell ref="C22:D22"/>
    <mergeCell ref="Y22:AE22"/>
    <mergeCell ref="Y24:AE24"/>
    <mergeCell ref="Y25:AE25"/>
    <mergeCell ref="E17:L17"/>
    <mergeCell ref="Y17:AE17"/>
    <mergeCell ref="Y18:AE18"/>
    <mergeCell ref="Y19:AE19"/>
    <mergeCell ref="Y21:AE21"/>
    <mergeCell ref="Q24:T24"/>
    <mergeCell ref="Q25:T25"/>
    <mergeCell ref="F104:AE104"/>
    <mergeCell ref="D80:AE80"/>
    <mergeCell ref="D81:AE81"/>
    <mergeCell ref="D69:AE69"/>
    <mergeCell ref="D70:AE70"/>
    <mergeCell ref="W86:AE86"/>
    <mergeCell ref="W87:AE87"/>
    <mergeCell ref="F93:G93"/>
    <mergeCell ref="C89:D89"/>
    <mergeCell ref="C90:D90"/>
    <mergeCell ref="H7:L7"/>
    <mergeCell ref="Q7:U7"/>
    <mergeCell ref="D77:AE77"/>
    <mergeCell ref="D78:AE78"/>
    <mergeCell ref="G23:L23"/>
    <mergeCell ref="D62:AE62"/>
    <mergeCell ref="D64:AE64"/>
    <mergeCell ref="D61:AE61"/>
    <mergeCell ref="F57:H57"/>
    <mergeCell ref="D43:AE43"/>
    <mergeCell ref="D72:AE72"/>
    <mergeCell ref="D73:AE73"/>
    <mergeCell ref="H74:I74"/>
    <mergeCell ref="D85:AE85"/>
    <mergeCell ref="D79:AE79"/>
    <mergeCell ref="D82:AE82"/>
    <mergeCell ref="D55:AE55"/>
    <mergeCell ref="D71:AE71"/>
    <mergeCell ref="F56:H56"/>
    <mergeCell ref="S42:U42"/>
    <mergeCell ref="D45:AE45"/>
    <mergeCell ref="D48:AE48"/>
    <mergeCell ref="D49:AE49"/>
    <mergeCell ref="D50:AE50"/>
    <mergeCell ref="D47:AE47"/>
    <mergeCell ref="D46:AE46"/>
    <mergeCell ref="U22:W22"/>
    <mergeCell ref="U24:W24"/>
    <mergeCell ref="U25:W25"/>
    <mergeCell ref="Q17:T17"/>
    <mergeCell ref="Q18:T18"/>
    <mergeCell ref="U17:W17"/>
    <mergeCell ref="U18:W18"/>
    <mergeCell ref="U19:W19"/>
    <mergeCell ref="U21:W21"/>
    <mergeCell ref="Q19:T19"/>
  </mergeCells>
  <hyperlinks>
    <hyperlink ref="H6" r:id="rId1" display="http://www.gyorshazak.extra.hu/v-arak.oko-falak.fodemek.html"/>
    <hyperlink ref="H7" r:id="rId2" display="bautechnik@eurocomnet.hu"/>
    <hyperlink ref="Q7:U7" r:id="rId3" display="callto:fransis69"/>
    <hyperlink ref="H6:O6" r:id="rId4" display="http://www.gyorshazak.extramobilhazak.hu/v-arak.oko-falak.fodemek.html"/>
    <hyperlink ref="N106" location="ver4!A1" display="fel--|--fel"/>
  </hyperlinks>
  <printOptions horizontalCentered="1" verticalCentered="1"/>
  <pageMargins left="0.1968503937007874" right="0.1968503937007874" top="0.5905511811023623" bottom="0.7874015748031497" header="0.3937007874015748" footer="0.7874015748031497"/>
  <pageSetup orientation="portrait" paperSize="9" r:id="rId6"/>
  <headerFooter alignWithMargins="0">
    <oddHeader>&amp;L&amp;"Arial,Normál"&amp;7Öko Bautechnik Könnyűszerkezetű Épület és Mobilház Gyártó Kft.
2230. GYÖMRŐ. Kőhatár . Külterület .68/81 hrsz&amp;C&amp;"Arial,Normál"&amp;7
&amp;P.oldal / össz &amp;N oldal&amp;R&amp;"Arial,Normál"&amp;7Tel: +3630 275 2235
E-mail:  bautechnik@eurocomnet.hu</oddHeader>
    <oddFooter>&amp;R&amp;"Arial Narrow,Dőlt"&amp;7____________________________________
-     (megrendelő laponkénti aláírása)         -</oddFooter>
  </headerFooter>
  <rowBreaks count="2" manualBreakCount="2">
    <brk id="46" min="2" max="31" man="1"/>
    <brk id="71" min="2" max="31" man="1"/>
  </rowBreaks>
  <colBreaks count="1" manualBreakCount="1">
    <brk id="32" max="547" man="1"/>
  </colBreaks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598"/>
  <sheetViews>
    <sheetView showGridLines="0" tabSelected="1" zoomScaleSheetLayoutView="100" workbookViewId="0" topLeftCell="A1">
      <selection activeCell="A1" sqref="A1"/>
    </sheetView>
  </sheetViews>
  <sheetFormatPr defaultColWidth="10" defaultRowHeight="12.75" customHeight="1" zeroHeight="1"/>
  <cols>
    <col min="1" max="1" width="6.75" style="239" customWidth="1"/>
    <col min="2" max="2" width="0.99609375" style="240" customWidth="1"/>
    <col min="3" max="3" width="5.25" style="241" customWidth="1"/>
    <col min="4" max="4" width="6.5" style="240" customWidth="1"/>
    <col min="5" max="5" width="38.25" style="240" customWidth="1"/>
    <col min="6" max="6" width="5.75" style="240" customWidth="1"/>
    <col min="7" max="7" width="2.25" style="242" customWidth="1"/>
    <col min="8" max="9" width="6.25" style="240" customWidth="1"/>
    <col min="10" max="10" width="6.75" style="240" customWidth="1"/>
    <col min="11" max="11" width="3.25" style="231" customWidth="1"/>
    <col min="12" max="12" width="9.25" style="243" customWidth="1"/>
    <col min="13" max="13" width="0.75" style="240" customWidth="1"/>
    <col min="14" max="14" width="10.75" style="243" customWidth="1"/>
    <col min="15" max="15" width="0.75" style="240" customWidth="1"/>
    <col min="16" max="16" width="2.75" style="244" customWidth="1"/>
    <col min="17" max="17" width="6.25" style="240" customWidth="1"/>
    <col min="18" max="18" width="2" style="235" customWidth="1"/>
    <col min="19" max="19" width="2.5" style="242" customWidth="1"/>
    <col min="20" max="20" width="2" style="240" customWidth="1"/>
    <col min="21" max="21" width="7.5" style="245" customWidth="1"/>
    <col min="22" max="22" width="3.25" style="242" customWidth="1"/>
    <col min="23" max="23" width="13" style="246" customWidth="1"/>
    <col min="24" max="24" width="14.75" style="246" customWidth="1"/>
    <col min="25" max="25" width="2.75" style="242" customWidth="1"/>
    <col min="26" max="26" width="11.5" style="246" customWidth="1"/>
    <col min="27" max="27" width="10.5" style="243" customWidth="1"/>
    <col min="28" max="28" width="2" style="242" customWidth="1"/>
    <col min="29" max="30" width="0.75" style="240" customWidth="1"/>
    <col min="31" max="31" width="10.5" style="243" customWidth="1"/>
    <col min="32" max="32" width="1.75" style="240" customWidth="1"/>
    <col min="33" max="16384" width="2.75" style="240" hidden="1" customWidth="1"/>
  </cols>
  <sheetData>
    <row r="1" spans="1:31" s="229" customFormat="1" ht="12.75" customHeight="1">
      <c r="A1" s="228"/>
      <c r="C1" s="230">
        <v>4.5</v>
      </c>
      <c r="D1" s="229">
        <v>5.67</v>
      </c>
      <c r="E1" s="229">
        <v>37.33</v>
      </c>
      <c r="F1" s="229">
        <v>4.83</v>
      </c>
      <c r="G1" s="231">
        <v>1.33</v>
      </c>
      <c r="H1" s="229">
        <v>5.5</v>
      </c>
      <c r="I1" s="229">
        <v>5.33</v>
      </c>
      <c r="J1" s="229">
        <v>5.83</v>
      </c>
      <c r="K1" s="231">
        <v>2.33</v>
      </c>
      <c r="L1" s="232">
        <v>8.5</v>
      </c>
      <c r="M1" s="229">
        <v>0.45</v>
      </c>
      <c r="N1" s="232">
        <v>10</v>
      </c>
      <c r="O1" s="229">
        <v>0.45</v>
      </c>
      <c r="P1" s="233">
        <v>2</v>
      </c>
      <c r="Q1" s="234">
        <v>3.3</v>
      </c>
      <c r="R1" s="235">
        <v>0.55</v>
      </c>
      <c r="S1" s="231">
        <v>2.33</v>
      </c>
      <c r="T1" s="229">
        <v>1.17</v>
      </c>
      <c r="U1" s="236">
        <v>6.67</v>
      </c>
      <c r="V1" s="231">
        <v>2.5</v>
      </c>
      <c r="W1" s="237">
        <v>12.17</v>
      </c>
      <c r="X1" s="237">
        <v>14</v>
      </c>
      <c r="Y1" s="231">
        <v>1.83</v>
      </c>
      <c r="Z1" s="237">
        <v>10.67</v>
      </c>
      <c r="AA1" s="232">
        <v>9.67</v>
      </c>
      <c r="AB1" s="231">
        <v>1</v>
      </c>
      <c r="AE1" s="238">
        <v>9.67</v>
      </c>
    </row>
    <row r="2" ht="12.75" customHeight="1">
      <c r="A2" s="860">
        <v>1.48</v>
      </c>
    </row>
    <row r="3" ht="12.75" customHeight="1">
      <c r="A3" s="860">
        <v>0.1</v>
      </c>
    </row>
    <row r="4" ht="12.75" customHeight="1"/>
    <row r="5" spans="3:27" ht="12.75" customHeight="1">
      <c r="C5" s="241" t="s">
        <v>440</v>
      </c>
      <c r="AA5" s="243" t="s">
        <v>208</v>
      </c>
    </row>
    <row r="6" spans="3:31" ht="12.75" customHeight="1">
      <c r="C6" s="241" t="s">
        <v>209</v>
      </c>
      <c r="F6" s="240" t="s">
        <v>210</v>
      </c>
      <c r="H6" s="1135" t="s">
        <v>515</v>
      </c>
      <c r="I6" s="1118"/>
      <c r="J6" s="1118"/>
      <c r="K6" s="1118"/>
      <c r="L6" s="1118"/>
      <c r="M6" s="1118"/>
      <c r="N6" s="1118"/>
      <c r="O6" s="1118"/>
      <c r="P6" s="1118"/>
      <c r="Q6" s="1118"/>
      <c r="R6" s="1118"/>
      <c r="S6" s="1118"/>
      <c r="T6" s="1118"/>
      <c r="U6" s="1118"/>
      <c r="W6" s="246" t="s">
        <v>436</v>
      </c>
      <c r="X6" s="246">
        <v>10</v>
      </c>
      <c r="Y6" s="242" t="s">
        <v>438</v>
      </c>
      <c r="Z6" s="246" t="s">
        <v>439</v>
      </c>
      <c r="AE6" s="243" t="s">
        <v>437</v>
      </c>
    </row>
    <row r="7" spans="6:21" ht="12.75" customHeight="1">
      <c r="F7" s="240" t="s">
        <v>211</v>
      </c>
      <c r="H7" s="1118" t="s">
        <v>212</v>
      </c>
      <c r="I7" s="1119"/>
      <c r="J7" s="1119"/>
      <c r="K7" s="1119"/>
      <c r="L7" s="1119"/>
      <c r="M7" s="240" t="s">
        <v>213</v>
      </c>
      <c r="Q7" s="1118" t="s">
        <v>597</v>
      </c>
      <c r="R7" s="1119"/>
      <c r="S7" s="1119"/>
      <c r="T7" s="1119"/>
      <c r="U7" s="1119"/>
    </row>
    <row r="8" ht="12.75" customHeight="1"/>
    <row r="9" spans="4:31" ht="114.75" customHeight="1">
      <c r="D9" s="1116" t="s">
        <v>598</v>
      </c>
      <c r="E9" s="1117"/>
      <c r="F9" s="1120" t="s">
        <v>599</v>
      </c>
      <c r="G9" s="1120"/>
      <c r="H9" s="1120"/>
      <c r="I9" s="1120"/>
      <c r="J9" s="1120"/>
      <c r="K9" s="1120"/>
      <c r="L9" s="1120"/>
      <c r="M9" s="1120"/>
      <c r="N9" s="1120"/>
      <c r="O9" s="1120"/>
      <c r="P9" s="1120"/>
      <c r="Q9" s="1121"/>
      <c r="R9" s="247"/>
      <c r="S9" s="1066" t="s">
        <v>85</v>
      </c>
      <c r="T9" s="1066"/>
      <c r="U9" s="1066"/>
      <c r="V9" s="1066"/>
      <c r="W9" s="1066"/>
      <c r="X9" s="1066"/>
      <c r="Y9" s="1066"/>
      <c r="Z9" s="1066"/>
      <c r="AA9" s="1066"/>
      <c r="AB9" s="248"/>
      <c r="AC9" s="249"/>
      <c r="AD9" s="249"/>
      <c r="AE9" s="250" t="s">
        <v>600</v>
      </c>
    </row>
    <row r="10" ht="12.75" customHeight="1"/>
    <row r="11" ht="12.75" customHeight="1"/>
    <row r="12" spans="1:31" ht="50.25" customHeight="1">
      <c r="A12" s="251"/>
      <c r="C12" s="252" t="s">
        <v>215</v>
      </c>
      <c r="E12" s="1128" t="s">
        <v>86</v>
      </c>
      <c r="F12" s="1129"/>
      <c r="G12" s="1129"/>
      <c r="H12" s="1129"/>
      <c r="I12" s="1129"/>
      <c r="J12" s="1129"/>
      <c r="K12" s="1129"/>
      <c r="L12" s="1129"/>
      <c r="M12" s="1129"/>
      <c r="N12" s="1129"/>
      <c r="O12" s="1129"/>
      <c r="P12" s="1129"/>
      <c r="Q12" s="1129"/>
      <c r="R12" s="1129"/>
      <c r="S12" s="1129"/>
      <c r="T12" s="1129"/>
      <c r="U12" s="1129"/>
      <c r="V12" s="1129"/>
      <c r="W12" s="1129"/>
      <c r="X12" s="253">
        <v>1</v>
      </c>
      <c r="Z12" s="254" t="s">
        <v>216</v>
      </c>
      <c r="AA12" s="1146">
        <v>290</v>
      </c>
      <c r="AB12" s="1146"/>
      <c r="AC12" s="1146"/>
      <c r="AD12" s="1146"/>
      <c r="AE12" s="1146"/>
    </row>
    <row r="13" spans="1:31" s="251" customFormat="1" ht="9.75" customHeight="1">
      <c r="A13" s="239"/>
      <c r="C13" s="1018" t="s">
        <v>725</v>
      </c>
      <c r="D13" s="1018"/>
      <c r="E13" s="239"/>
      <c r="G13" s="255"/>
      <c r="K13" s="256"/>
      <c r="L13" s="257"/>
      <c r="N13" s="257"/>
      <c r="P13" s="258"/>
      <c r="R13" s="259"/>
      <c r="S13" s="255"/>
      <c r="U13" s="260"/>
      <c r="V13" s="255"/>
      <c r="W13" s="261"/>
      <c r="X13" s="261"/>
      <c r="Y13" s="255"/>
      <c r="Z13" s="261"/>
      <c r="AA13" s="262"/>
      <c r="AB13" s="263"/>
      <c r="AC13" s="239"/>
      <c r="AD13" s="239"/>
      <c r="AE13" s="262"/>
    </row>
    <row r="14" spans="3:31" ht="22.5" customHeight="1" thickBot="1">
      <c r="C14" s="1018"/>
      <c r="D14" s="1018"/>
      <c r="E14" s="264" t="s">
        <v>516</v>
      </c>
      <c r="F14" s="265" t="s">
        <v>601</v>
      </c>
      <c r="G14" s="266"/>
      <c r="H14" s="265"/>
      <c r="I14" s="265"/>
      <c r="J14" s="265"/>
      <c r="K14" s="267"/>
      <c r="L14" s="268"/>
      <c r="M14" s="265"/>
      <c r="N14" s="268"/>
      <c r="O14" s="265"/>
      <c r="P14" s="269"/>
      <c r="Q14" s="265"/>
      <c r="R14" s="270"/>
      <c r="S14" s="266"/>
      <c r="T14" s="265"/>
      <c r="U14" s="271"/>
      <c r="V14" s="266"/>
      <c r="W14" s="272"/>
      <c r="X14" s="272"/>
      <c r="Y14" s="266"/>
      <c r="Z14" s="272"/>
      <c r="AA14" s="273" t="s">
        <v>602</v>
      </c>
      <c r="AB14" s="274"/>
      <c r="AC14" s="275"/>
      <c r="AD14" s="275"/>
      <c r="AE14" s="276" t="s">
        <v>586</v>
      </c>
    </row>
    <row r="15" spans="3:32" ht="3.75" customHeight="1" thickTop="1">
      <c r="C15" s="277"/>
      <c r="D15" s="278"/>
      <c r="E15" s="278"/>
      <c r="F15" s="278"/>
      <c r="G15" s="279"/>
      <c r="H15" s="278"/>
      <c r="I15" s="278"/>
      <c r="J15" s="278"/>
      <c r="K15" s="280"/>
      <c r="L15" s="281"/>
      <c r="M15" s="278"/>
      <c r="N15" s="281"/>
      <c r="O15" s="278"/>
      <c r="P15" s="282"/>
      <c r="Q15" s="283"/>
      <c r="R15" s="284"/>
      <c r="S15" s="285"/>
      <c r="T15" s="278"/>
      <c r="U15" s="286"/>
      <c r="V15" s="279"/>
      <c r="W15" s="287"/>
      <c r="X15" s="287"/>
      <c r="Y15" s="279"/>
      <c r="Z15" s="287"/>
      <c r="AA15" s="281"/>
      <c r="AB15" s="279"/>
      <c r="AC15" s="278"/>
      <c r="AD15" s="278"/>
      <c r="AE15" s="281"/>
      <c r="AF15" s="278"/>
    </row>
    <row r="16" ht="12.75" customHeight="1">
      <c r="A16" s="251"/>
    </row>
    <row r="17" spans="1:5" ht="3" customHeight="1">
      <c r="A17" s="251"/>
      <c r="E17" s="288"/>
    </row>
    <row r="18" spans="1:21" ht="21" customHeight="1">
      <c r="A18" s="251"/>
      <c r="N18" s="1122" t="s">
        <v>128</v>
      </c>
      <c r="O18" s="1123"/>
      <c r="P18" s="1123"/>
      <c r="Q18" s="1123"/>
      <c r="R18" s="1123"/>
      <c r="S18" s="1123"/>
      <c r="T18" s="1123"/>
      <c r="U18" s="1124"/>
    </row>
    <row r="19" spans="3:32" ht="3.75" customHeight="1">
      <c r="C19" s="277"/>
      <c r="D19" s="278"/>
      <c r="E19" s="278"/>
      <c r="F19" s="278"/>
      <c r="G19" s="279"/>
      <c r="H19" s="278"/>
      <c r="I19" s="278"/>
      <c r="J19" s="278"/>
      <c r="K19" s="280"/>
      <c r="L19" s="281"/>
      <c r="M19" s="278"/>
      <c r="N19" s="281"/>
      <c r="O19" s="278"/>
      <c r="P19" s="282"/>
      <c r="Q19" s="289"/>
      <c r="R19" s="284"/>
      <c r="S19" s="285"/>
      <c r="T19" s="278"/>
      <c r="U19" s="286"/>
      <c r="V19" s="279"/>
      <c r="W19" s="287"/>
      <c r="X19" s="287"/>
      <c r="Y19" s="279"/>
      <c r="Z19" s="287"/>
      <c r="AA19" s="281"/>
      <c r="AB19" s="279"/>
      <c r="AC19" s="278"/>
      <c r="AD19" s="278"/>
      <c r="AE19" s="281"/>
      <c r="AF19" s="278"/>
    </row>
    <row r="20" spans="3:31" ht="12.75" customHeight="1">
      <c r="C20" s="290" t="s">
        <v>435</v>
      </c>
      <c r="D20" s="291">
        <v>1.27</v>
      </c>
      <c r="E20" s="292" t="s">
        <v>521</v>
      </c>
      <c r="F20" s="239"/>
      <c r="G20" s="263"/>
      <c r="H20" s="239"/>
      <c r="I20" s="239"/>
      <c r="J20" s="1009" t="s">
        <v>711</v>
      </c>
      <c r="K20" s="1009"/>
      <c r="L20" s="1009" t="s">
        <v>711</v>
      </c>
      <c r="M20" s="1009"/>
      <c r="N20" s="293"/>
      <c r="O20" s="294"/>
      <c r="P20" s="295" t="s">
        <v>223</v>
      </c>
      <c r="Q20" s="296"/>
      <c r="R20" s="297"/>
      <c r="S20" s="298"/>
      <c r="T20" s="299"/>
      <c r="U20" s="300"/>
      <c r="V20" s="263"/>
      <c r="W20" s="301" t="s">
        <v>219</v>
      </c>
      <c r="X20" s="302">
        <f>AA12</f>
        <v>290</v>
      </c>
      <c r="Y20" s="263" t="s">
        <v>220</v>
      </c>
      <c r="Z20" s="301" t="s">
        <v>221</v>
      </c>
      <c r="AA20" s="262"/>
      <c r="AB20" s="263"/>
      <c r="AC20" s="239"/>
      <c r="AD20" s="239"/>
      <c r="AE20" s="303" t="s">
        <v>222</v>
      </c>
    </row>
    <row r="21" spans="1:31" s="305" customFormat="1" ht="41.25" customHeight="1">
      <c r="A21" s="304"/>
      <c r="C21" s="306"/>
      <c r="E21" s="307" t="s">
        <v>87</v>
      </c>
      <c r="F21" s="308" t="s">
        <v>224</v>
      </c>
      <c r="G21" s="309"/>
      <c r="H21" s="309" t="s">
        <v>225</v>
      </c>
      <c r="I21" s="308" t="s">
        <v>603</v>
      </c>
      <c r="J21" s="310" t="s">
        <v>167</v>
      </c>
      <c r="K21" s="309"/>
      <c r="L21" s="311" t="s">
        <v>249</v>
      </c>
      <c r="M21" s="309"/>
      <c r="N21" s="312" t="s">
        <v>250</v>
      </c>
      <c r="O21" s="309"/>
      <c r="P21" s="313"/>
      <c r="Q21" s="314"/>
      <c r="R21" s="315" t="s">
        <v>165</v>
      </c>
      <c r="S21" s="316" t="s">
        <v>165</v>
      </c>
      <c r="T21" s="308"/>
      <c r="U21" s="317" t="s">
        <v>228</v>
      </c>
      <c r="V21" s="309" t="s">
        <v>233</v>
      </c>
      <c r="W21" s="318" t="s">
        <v>441</v>
      </c>
      <c r="X21" s="318" t="s">
        <v>441</v>
      </c>
      <c r="Y21" s="309"/>
      <c r="Z21" s="318" t="s">
        <v>166</v>
      </c>
      <c r="AA21" s="319" t="s">
        <v>166</v>
      </c>
      <c r="AB21" s="309" t="s">
        <v>229</v>
      </c>
      <c r="AC21" s="309"/>
      <c r="AD21" s="309"/>
      <c r="AE21" s="312" t="s">
        <v>230</v>
      </c>
    </row>
    <row r="22" spans="5:31" ht="12.75" customHeight="1">
      <c r="E22" s="320" t="s">
        <v>189</v>
      </c>
      <c r="I22" s="240" t="s">
        <v>231</v>
      </c>
      <c r="J22" s="321" t="s">
        <v>604</v>
      </c>
      <c r="N22" s="322"/>
      <c r="Q22" s="323"/>
      <c r="S22" s="324"/>
      <c r="U22" s="245" t="s">
        <v>233</v>
      </c>
      <c r="W22" s="246" t="s">
        <v>234</v>
      </c>
      <c r="X22" s="246" t="s">
        <v>235</v>
      </c>
      <c r="Z22" s="246" t="s">
        <v>236</v>
      </c>
      <c r="AA22" s="243" t="s">
        <v>237</v>
      </c>
      <c r="AE22" s="309" t="s">
        <v>238</v>
      </c>
    </row>
    <row r="23" spans="3:31" ht="0" customHeight="1" hidden="1">
      <c r="C23" s="325"/>
      <c r="D23" s="1067" t="s">
        <v>88</v>
      </c>
      <c r="E23" s="326" t="s">
        <v>605</v>
      </c>
      <c r="F23" s="327">
        <v>2.44</v>
      </c>
      <c r="G23" s="328" t="s">
        <v>239</v>
      </c>
      <c r="H23" s="329">
        <v>1.5</v>
      </c>
      <c r="I23" s="330">
        <f aca="true" t="shared" si="0" ref="I23:I31">(H23*modul)+eresz</f>
        <v>2.32</v>
      </c>
      <c r="J23" s="331">
        <f>F23*I23</f>
        <v>5.660799999999999</v>
      </c>
      <c r="K23" s="332" t="s">
        <v>233</v>
      </c>
      <c r="L23" s="333">
        <f aca="true" t="shared" si="1" ref="L23:L31">IF(Q23="","",N23*1/afa)</f>
      </c>
      <c r="M23" s="327"/>
      <c r="N23" s="322">
        <f>IF(Q23="","",F485)</f>
      </c>
      <c r="P23" s="258"/>
      <c r="Q23" s="334"/>
      <c r="S23" s="324" t="s">
        <v>240</v>
      </c>
      <c r="T23" s="327"/>
      <c r="U23" s="335">
        <f aca="true" t="shared" si="2" ref="U23:U31">IF(Q23="","",J23*Q23)</f>
      </c>
      <c r="V23" s="328" t="s">
        <v>233</v>
      </c>
      <c r="W23" s="336">
        <f aca="true" t="shared" si="3" ref="W23:W31">IF(X23="","",X23*1/afa)</f>
      </c>
      <c r="X23" s="336">
        <f aca="true" t="shared" si="4" ref="X23:X31">IF(Q23=0,"",ROUNDUP(AA23*euro,-3))</f>
      </c>
      <c r="Y23" s="328" t="s">
        <v>241</v>
      </c>
      <c r="Z23" s="336">
        <f aca="true" t="shared" si="5" ref="Z23:Z31">IF(Q23="","",L23*Q23)</f>
      </c>
      <c r="AA23" s="333">
        <f aca="true" t="shared" si="6" ref="AA23:AA31">IF(Q23="","",Z23*afa)</f>
      </c>
      <c r="AB23" s="242" t="s">
        <v>229</v>
      </c>
      <c r="AE23" s="243">
        <f>IF(Q23="","",Q23*1353)</f>
      </c>
    </row>
    <row r="24" spans="3:31" ht="0" customHeight="1" hidden="1">
      <c r="C24" s="325"/>
      <c r="D24" s="1068"/>
      <c r="E24" s="337" t="s">
        <v>606</v>
      </c>
      <c r="F24" s="288"/>
      <c r="G24" s="338"/>
      <c r="H24" s="339">
        <v>2.5</v>
      </c>
      <c r="I24" s="340">
        <f t="shared" si="0"/>
        <v>3.8000000000000003</v>
      </c>
      <c r="J24" s="341">
        <f>F23*I24</f>
        <v>9.272</v>
      </c>
      <c r="K24" s="342" t="s">
        <v>233</v>
      </c>
      <c r="L24" s="322">
        <f t="shared" si="1"/>
      </c>
      <c r="M24" s="288"/>
      <c r="N24" s="322">
        <f>IF(Q24="","",F486)</f>
      </c>
      <c r="P24" s="258"/>
      <c r="Q24" s="334"/>
      <c r="S24" s="324" t="s">
        <v>240</v>
      </c>
      <c r="T24" s="288"/>
      <c r="U24" s="343">
        <f t="shared" si="2"/>
      </c>
      <c r="V24" s="338"/>
      <c r="W24" s="344">
        <f t="shared" si="3"/>
      </c>
      <c r="X24" s="344">
        <f t="shared" si="4"/>
      </c>
      <c r="Y24" s="338"/>
      <c r="Z24" s="344">
        <f t="shared" si="5"/>
      </c>
      <c r="AA24" s="322">
        <f t="shared" si="6"/>
      </c>
      <c r="AB24" s="242" t="s">
        <v>229</v>
      </c>
      <c r="AE24" s="243">
        <f>IF(Q24="","",Q24*1915)</f>
      </c>
    </row>
    <row r="25" spans="3:31" ht="0" customHeight="1" hidden="1">
      <c r="C25" s="325"/>
      <c r="D25" s="1068"/>
      <c r="E25" s="337" t="s">
        <v>607</v>
      </c>
      <c r="F25" s="288"/>
      <c r="G25" s="338"/>
      <c r="H25" s="339">
        <v>3.5</v>
      </c>
      <c r="I25" s="340">
        <f t="shared" si="0"/>
        <v>5.279999999999999</v>
      </c>
      <c r="J25" s="341">
        <f>F23*I25</f>
        <v>12.883199999999999</v>
      </c>
      <c r="K25" s="342" t="s">
        <v>233</v>
      </c>
      <c r="L25" s="322">
        <f t="shared" si="1"/>
      </c>
      <c r="M25" s="288"/>
      <c r="N25" s="322">
        <f>IF(Q25="","",F487)</f>
      </c>
      <c r="P25" s="258"/>
      <c r="Q25" s="334"/>
      <c r="S25" s="324" t="s">
        <v>240</v>
      </c>
      <c r="T25" s="288"/>
      <c r="U25" s="343">
        <f t="shared" si="2"/>
      </c>
      <c r="V25" s="338"/>
      <c r="W25" s="344">
        <f t="shared" si="3"/>
      </c>
      <c r="X25" s="344">
        <f t="shared" si="4"/>
      </c>
      <c r="Y25" s="338"/>
      <c r="Z25" s="344">
        <f t="shared" si="5"/>
      </c>
      <c r="AA25" s="322">
        <f t="shared" si="6"/>
      </c>
      <c r="AB25" s="242" t="s">
        <v>229</v>
      </c>
      <c r="AE25" s="243">
        <f>IF(Q25="","",Q25*2505)</f>
      </c>
    </row>
    <row r="26" spans="3:31" ht="0" customHeight="1" hidden="1">
      <c r="C26" s="325"/>
      <c r="D26" s="1068"/>
      <c r="E26" s="337" t="s">
        <v>608</v>
      </c>
      <c r="F26" s="288"/>
      <c r="G26" s="338"/>
      <c r="H26" s="339">
        <v>4.5</v>
      </c>
      <c r="I26" s="340">
        <f t="shared" si="0"/>
        <v>6.76</v>
      </c>
      <c r="J26" s="341">
        <f>F23*I26</f>
        <v>16.4944</v>
      </c>
      <c r="K26" s="342" t="s">
        <v>233</v>
      </c>
      <c r="L26" s="322">
        <f t="shared" si="1"/>
      </c>
      <c r="M26" s="288"/>
      <c r="N26" s="322">
        <f>IF(Q26="","",F488)</f>
      </c>
      <c r="P26" s="258"/>
      <c r="Q26" s="334"/>
      <c r="S26" s="324" t="s">
        <v>240</v>
      </c>
      <c r="T26" s="288"/>
      <c r="U26" s="343">
        <f t="shared" si="2"/>
      </c>
      <c r="V26" s="338"/>
      <c r="W26" s="344">
        <f t="shared" si="3"/>
      </c>
      <c r="X26" s="344">
        <f t="shared" si="4"/>
      </c>
      <c r="Y26" s="338"/>
      <c r="Z26" s="344">
        <f t="shared" si="5"/>
      </c>
      <c r="AA26" s="322">
        <f t="shared" si="6"/>
      </c>
      <c r="AB26" s="242" t="s">
        <v>229</v>
      </c>
      <c r="AE26" s="243">
        <f>IF(Q26="","",Q26*4164)</f>
      </c>
    </row>
    <row r="27" spans="3:31" ht="0" customHeight="1" hidden="1">
      <c r="C27" s="325"/>
      <c r="D27" s="1068"/>
      <c r="E27" s="337" t="s">
        <v>609</v>
      </c>
      <c r="F27" s="288"/>
      <c r="G27" s="338"/>
      <c r="H27" s="339">
        <v>5.5</v>
      </c>
      <c r="I27" s="340">
        <f t="shared" si="0"/>
        <v>8.24</v>
      </c>
      <c r="J27" s="341">
        <f>F23*I27</f>
        <v>20.1056</v>
      </c>
      <c r="K27" s="342" t="s">
        <v>233</v>
      </c>
      <c r="L27" s="322">
        <f t="shared" si="1"/>
      </c>
      <c r="M27" s="288"/>
      <c r="N27" s="322">
        <f>IF(Q27="","",F489)</f>
      </c>
      <c r="P27" s="258"/>
      <c r="Q27" s="334"/>
      <c r="S27" s="324" t="s">
        <v>240</v>
      </c>
      <c r="T27" s="288"/>
      <c r="U27" s="343">
        <f t="shared" si="2"/>
      </c>
      <c r="V27" s="338"/>
      <c r="W27" s="344">
        <f t="shared" si="3"/>
      </c>
      <c r="X27" s="344">
        <f t="shared" si="4"/>
      </c>
      <c r="Y27" s="338"/>
      <c r="Z27" s="344">
        <f t="shared" si="5"/>
      </c>
      <c r="AA27" s="322">
        <f t="shared" si="6"/>
      </c>
      <c r="AB27" s="242" t="s">
        <v>229</v>
      </c>
      <c r="AE27" s="243">
        <f>IF(Q27="","",Q27*4799)</f>
      </c>
    </row>
    <row r="28" spans="3:31" ht="0" customHeight="1" hidden="1">
      <c r="C28" s="325"/>
      <c r="D28" s="1068"/>
      <c r="E28" s="337" t="s">
        <v>610</v>
      </c>
      <c r="F28" s="288"/>
      <c r="G28" s="338"/>
      <c r="H28" s="339">
        <v>6.5</v>
      </c>
      <c r="I28" s="340">
        <f t="shared" si="0"/>
        <v>9.719999999999999</v>
      </c>
      <c r="J28" s="341">
        <f>F23*I28</f>
        <v>23.716799999999996</v>
      </c>
      <c r="K28" s="342" t="s">
        <v>233</v>
      </c>
      <c r="L28" s="322">
        <f t="shared" si="1"/>
      </c>
      <c r="M28" s="288"/>
      <c r="N28" s="322">
        <f>IF(Q28="","",F490)</f>
      </c>
      <c r="P28" s="258"/>
      <c r="Q28" s="334"/>
      <c r="S28" s="324" t="s">
        <v>240</v>
      </c>
      <c r="T28" s="288"/>
      <c r="U28" s="343">
        <f t="shared" si="2"/>
      </c>
      <c r="V28" s="338"/>
      <c r="W28" s="344">
        <f t="shared" si="3"/>
      </c>
      <c r="X28" s="344">
        <f t="shared" si="4"/>
      </c>
      <c r="Y28" s="338"/>
      <c r="Z28" s="344">
        <f t="shared" si="5"/>
      </c>
      <c r="AA28" s="322">
        <f t="shared" si="6"/>
      </c>
      <c r="AB28" s="242" t="s">
        <v>229</v>
      </c>
      <c r="AE28" s="243">
        <f>IF(Q28="","",Q28*5456)</f>
      </c>
    </row>
    <row r="29" spans="3:31" ht="0" customHeight="1" hidden="1">
      <c r="C29" s="325"/>
      <c r="D29" s="1069"/>
      <c r="E29" s="337" t="s">
        <v>611</v>
      </c>
      <c r="F29" s="288"/>
      <c r="G29" s="338"/>
      <c r="H29" s="339">
        <v>7.5</v>
      </c>
      <c r="I29" s="340">
        <f t="shared" si="0"/>
        <v>11.2</v>
      </c>
      <c r="J29" s="341">
        <f>F23*I29</f>
        <v>27.328</v>
      </c>
      <c r="K29" s="342" t="s">
        <v>233</v>
      </c>
      <c r="L29" s="322">
        <f t="shared" si="1"/>
      </c>
      <c r="M29" s="288"/>
      <c r="N29" s="322">
        <f>IF(Q29="","",F491)</f>
      </c>
      <c r="P29" s="258"/>
      <c r="Q29" s="334"/>
      <c r="S29" s="324" t="s">
        <v>240</v>
      </c>
      <c r="T29" s="288"/>
      <c r="U29" s="343">
        <f t="shared" si="2"/>
      </c>
      <c r="V29" s="338"/>
      <c r="W29" s="344">
        <f t="shared" si="3"/>
      </c>
      <c r="X29" s="344">
        <f t="shared" si="4"/>
      </c>
      <c r="Y29" s="338"/>
      <c r="Z29" s="344">
        <f t="shared" si="5"/>
      </c>
      <c r="AA29" s="322">
        <f t="shared" si="6"/>
      </c>
      <c r="AB29" s="242" t="s">
        <v>229</v>
      </c>
      <c r="AE29" s="243">
        <f>IF(Q29="","",Q29*6136)</f>
      </c>
    </row>
    <row r="30" spans="3:31" ht="0" customHeight="1" hidden="1">
      <c r="C30" s="325"/>
      <c r="D30" s="1038" t="s">
        <v>568</v>
      </c>
      <c r="E30" s="337" t="s">
        <v>612</v>
      </c>
      <c r="F30" s="288"/>
      <c r="G30" s="338"/>
      <c r="H30" s="339">
        <v>8.5</v>
      </c>
      <c r="I30" s="340">
        <f t="shared" si="0"/>
        <v>12.68</v>
      </c>
      <c r="J30" s="341">
        <f>F23*I30</f>
        <v>30.9392</v>
      </c>
      <c r="K30" s="342" t="s">
        <v>233</v>
      </c>
      <c r="L30" s="322">
        <f t="shared" si="1"/>
      </c>
      <c r="M30" s="288"/>
      <c r="N30" s="322">
        <f>IF(Q30="","",F492)</f>
      </c>
      <c r="P30" s="258"/>
      <c r="Q30" s="334"/>
      <c r="S30" s="324" t="s">
        <v>240</v>
      </c>
      <c r="T30" s="288"/>
      <c r="U30" s="343">
        <f t="shared" si="2"/>
      </c>
      <c r="V30" s="338"/>
      <c r="W30" s="344">
        <f t="shared" si="3"/>
      </c>
      <c r="X30" s="344">
        <f t="shared" si="4"/>
      </c>
      <c r="Y30" s="338"/>
      <c r="Z30" s="344">
        <f t="shared" si="5"/>
      </c>
      <c r="AA30" s="322">
        <f t="shared" si="6"/>
      </c>
      <c r="AB30" s="242" t="s">
        <v>229</v>
      </c>
      <c r="AE30" s="243">
        <f>IF(Q30="","",Q30*6838)</f>
      </c>
    </row>
    <row r="31" spans="3:31" ht="0" customHeight="1" hidden="1">
      <c r="C31" s="325"/>
      <c r="D31" s="1039"/>
      <c r="E31" s="345" t="s">
        <v>613</v>
      </c>
      <c r="F31" s="346"/>
      <c r="G31" s="347"/>
      <c r="H31" s="348">
        <v>9.5</v>
      </c>
      <c r="I31" s="349">
        <f t="shared" si="0"/>
        <v>14.16</v>
      </c>
      <c r="J31" s="350">
        <f>F23*I31</f>
        <v>34.550399999999996</v>
      </c>
      <c r="K31" s="351" t="s">
        <v>233</v>
      </c>
      <c r="L31" s="352">
        <f t="shared" si="1"/>
      </c>
      <c r="M31" s="346"/>
      <c r="N31" s="352">
        <f>IF(Q31="","",F492)</f>
      </c>
      <c r="O31" s="353"/>
      <c r="P31" s="354"/>
      <c r="Q31" s="355"/>
      <c r="R31" s="356"/>
      <c r="S31" s="357" t="s">
        <v>240</v>
      </c>
      <c r="T31" s="346"/>
      <c r="U31" s="358">
        <f t="shared" si="2"/>
      </c>
      <c r="V31" s="347"/>
      <c r="W31" s="359">
        <f t="shared" si="3"/>
      </c>
      <c r="X31" s="359">
        <f t="shared" si="4"/>
      </c>
      <c r="Y31" s="347"/>
      <c r="Z31" s="359">
        <f t="shared" si="5"/>
      </c>
      <c r="AA31" s="352">
        <f t="shared" si="6"/>
      </c>
      <c r="AB31" s="360" t="s">
        <v>229</v>
      </c>
      <c r="AC31" s="353"/>
      <c r="AD31" s="353"/>
      <c r="AE31" s="361">
        <f>IF(Q31="","",Q31*7562)</f>
      </c>
    </row>
    <row r="32" spans="5:31" ht="19.5" customHeight="1">
      <c r="E32" s="362" t="s">
        <v>694</v>
      </c>
      <c r="F32" s="363" t="s">
        <v>614</v>
      </c>
      <c r="G32" s="338"/>
      <c r="H32" s="288"/>
      <c r="I32" s="288"/>
      <c r="J32" s="288"/>
      <c r="K32" s="342"/>
      <c r="L32" s="322"/>
      <c r="M32" s="288"/>
      <c r="N32" s="322"/>
      <c r="Q32" s="323"/>
      <c r="S32" s="324"/>
      <c r="T32" s="288"/>
      <c r="U32" s="343"/>
      <c r="V32" s="338"/>
      <c r="W32" s="344"/>
      <c r="X32" s="344"/>
      <c r="Y32" s="338"/>
      <c r="Z32" s="344"/>
      <c r="AA32" s="322"/>
      <c r="AE32" s="243">
        <f>SUM(AE23:AE31)</f>
        <v>0</v>
      </c>
    </row>
    <row r="33" spans="3:31" ht="12.75" customHeight="1">
      <c r="C33" s="1010"/>
      <c r="D33" s="1070" t="s">
        <v>89</v>
      </c>
      <c r="E33" s="364" t="s">
        <v>615</v>
      </c>
      <c r="F33" s="288">
        <v>2.44</v>
      </c>
      <c r="G33" s="338" t="s">
        <v>239</v>
      </c>
      <c r="H33" s="339">
        <v>1.5</v>
      </c>
      <c r="I33" s="340">
        <f aca="true" t="shared" si="7" ref="I33:I41">(H33*modul)+eresz</f>
        <v>2.32</v>
      </c>
      <c r="J33" s="341">
        <f>F33*I33</f>
        <v>5.660799999999999</v>
      </c>
      <c r="K33" s="342" t="s">
        <v>233</v>
      </c>
      <c r="L33" s="322">
        <f aca="true" t="shared" si="8" ref="L33:L41">IF(Q33="","",N33*1/afa)</f>
      </c>
      <c r="M33" s="288"/>
      <c r="N33" s="322">
        <f>IF(Q33="","",L484)</f>
      </c>
      <c r="Q33" s="334"/>
      <c r="S33" s="324" t="s">
        <v>240</v>
      </c>
      <c r="T33" s="288"/>
      <c r="U33" s="959">
        <f>IF(Q33="","",J33*Q33*0)</f>
      </c>
      <c r="V33" s="338" t="s">
        <v>233</v>
      </c>
      <c r="W33" s="344">
        <f aca="true" t="shared" si="9" ref="W33:W41">IF(X33="","",X33*1/afa)</f>
      </c>
      <c r="X33" s="344">
        <f aca="true" t="shared" si="10" ref="X33:X41">IF(Q33=0,"",ROUNDUP(AA33*euro,-3))</f>
      </c>
      <c r="Y33" s="338" t="s">
        <v>241</v>
      </c>
      <c r="Z33" s="344">
        <f aca="true" t="shared" si="11" ref="Z33:Z41">IF(Q33="","",L33*Q33)</f>
      </c>
      <c r="AA33" s="322">
        <f aca="true" t="shared" si="12" ref="AA33:AA41">IF(Q33="","",Z33*afa)</f>
      </c>
      <c r="AB33" s="242" t="s">
        <v>229</v>
      </c>
      <c r="AE33" s="243">
        <f>IF(Q33="",0,Q33*1353)*0.85*0</f>
        <v>0</v>
      </c>
    </row>
    <row r="34" spans="3:31" ht="12.75" customHeight="1">
      <c r="C34" s="1010"/>
      <c r="D34" s="1071"/>
      <c r="E34" s="364" t="s">
        <v>616</v>
      </c>
      <c r="F34" s="288"/>
      <c r="G34" s="338"/>
      <c r="H34" s="339">
        <v>2.5</v>
      </c>
      <c r="I34" s="340">
        <f t="shared" si="7"/>
        <v>3.8000000000000003</v>
      </c>
      <c r="J34" s="341">
        <f>F33*I34</f>
        <v>9.272</v>
      </c>
      <c r="K34" s="342" t="s">
        <v>233</v>
      </c>
      <c r="L34" s="322">
        <f t="shared" si="8"/>
      </c>
      <c r="M34" s="288"/>
      <c r="N34" s="322">
        <f>IF(Q34="","",L485)</f>
      </c>
      <c r="Q34" s="334"/>
      <c r="S34" s="324" t="s">
        <v>240</v>
      </c>
      <c r="T34" s="288"/>
      <c r="U34" s="343">
        <f aca="true" t="shared" si="13" ref="U34:U41">IF(Q34="","",J34*Q34)</f>
      </c>
      <c r="V34" s="338"/>
      <c r="W34" s="344">
        <f t="shared" si="9"/>
      </c>
      <c r="X34" s="344">
        <f t="shared" si="10"/>
      </c>
      <c r="Y34" s="338"/>
      <c r="Z34" s="344">
        <f t="shared" si="11"/>
      </c>
      <c r="AA34" s="322">
        <f t="shared" si="12"/>
      </c>
      <c r="AB34" s="242" t="s">
        <v>229</v>
      </c>
      <c r="AE34" s="243">
        <f>IF(Q34="",0,Q34*1915)*0.85</f>
        <v>0</v>
      </c>
    </row>
    <row r="35" spans="3:31" ht="12.75" customHeight="1">
      <c r="C35" s="1010"/>
      <c r="D35" s="1071"/>
      <c r="E35" s="364" t="s">
        <v>617</v>
      </c>
      <c r="F35" s="288"/>
      <c r="G35" s="338"/>
      <c r="H35" s="339">
        <v>3.5</v>
      </c>
      <c r="I35" s="340">
        <f t="shared" si="7"/>
        <v>5.279999999999999</v>
      </c>
      <c r="J35" s="341">
        <f>F33*I35</f>
        <v>12.883199999999999</v>
      </c>
      <c r="K35" s="342" t="s">
        <v>233</v>
      </c>
      <c r="L35" s="322">
        <f t="shared" si="8"/>
      </c>
      <c r="M35" s="288"/>
      <c r="N35" s="322">
        <f>IF(Q35="","",L486)</f>
      </c>
      <c r="Q35" s="334"/>
      <c r="S35" s="324" t="s">
        <v>240</v>
      </c>
      <c r="T35" s="288"/>
      <c r="U35" s="343">
        <f t="shared" si="13"/>
      </c>
      <c r="V35" s="338"/>
      <c r="W35" s="344">
        <f t="shared" si="9"/>
      </c>
      <c r="X35" s="344">
        <f t="shared" si="10"/>
      </c>
      <c r="Y35" s="338"/>
      <c r="Z35" s="344">
        <f t="shared" si="11"/>
      </c>
      <c r="AA35" s="322">
        <f t="shared" si="12"/>
      </c>
      <c r="AB35" s="242" t="s">
        <v>229</v>
      </c>
      <c r="AE35" s="243">
        <f>IF(Q35="",0,Q35*2505)*0.85</f>
        <v>0</v>
      </c>
    </row>
    <row r="36" spans="3:31" ht="12.75" customHeight="1">
      <c r="C36" s="1010"/>
      <c r="D36" s="1071"/>
      <c r="E36" s="364" t="s">
        <v>618</v>
      </c>
      <c r="F36" s="288"/>
      <c r="G36" s="338"/>
      <c r="H36" s="339">
        <v>4.5</v>
      </c>
      <c r="I36" s="340">
        <f t="shared" si="7"/>
        <v>6.76</v>
      </c>
      <c r="J36" s="341">
        <f>F33*I36</f>
        <v>16.4944</v>
      </c>
      <c r="K36" s="342" t="s">
        <v>233</v>
      </c>
      <c r="L36" s="322">
        <f t="shared" si="8"/>
      </c>
      <c r="M36" s="288"/>
      <c r="N36" s="322">
        <f>IF(Q36="","",L487)</f>
      </c>
      <c r="Q36" s="334"/>
      <c r="S36" s="324" t="s">
        <v>240</v>
      </c>
      <c r="T36" s="288"/>
      <c r="U36" s="343">
        <f t="shared" si="13"/>
      </c>
      <c r="V36" s="338"/>
      <c r="W36" s="344">
        <f t="shared" si="9"/>
      </c>
      <c r="X36" s="344">
        <f t="shared" si="10"/>
      </c>
      <c r="Y36" s="338"/>
      <c r="Z36" s="344">
        <f t="shared" si="11"/>
      </c>
      <c r="AA36" s="322">
        <f t="shared" si="12"/>
      </c>
      <c r="AB36" s="242" t="s">
        <v>229</v>
      </c>
      <c r="AE36" s="243">
        <f>IF(Q36="",0,Q36*4164)*0.85</f>
        <v>0</v>
      </c>
    </row>
    <row r="37" spans="3:31" ht="12.75" customHeight="1">
      <c r="C37" s="1010"/>
      <c r="D37" s="1071"/>
      <c r="E37" s="364" t="s">
        <v>619</v>
      </c>
      <c r="F37" s="288"/>
      <c r="G37" s="338"/>
      <c r="H37" s="339">
        <v>5.5</v>
      </c>
      <c r="I37" s="340">
        <f t="shared" si="7"/>
        <v>8.24</v>
      </c>
      <c r="J37" s="341">
        <f>F33*I37</f>
        <v>20.1056</v>
      </c>
      <c r="K37" s="342" t="s">
        <v>233</v>
      </c>
      <c r="L37" s="322">
        <f t="shared" si="8"/>
      </c>
      <c r="M37" s="288"/>
      <c r="N37" s="322">
        <f>IF(Q37="","",L488)</f>
      </c>
      <c r="Q37" s="334"/>
      <c r="S37" s="324" t="s">
        <v>240</v>
      </c>
      <c r="T37" s="288"/>
      <c r="U37" s="343">
        <f t="shared" si="13"/>
      </c>
      <c r="V37" s="338"/>
      <c r="W37" s="344">
        <f t="shared" si="9"/>
      </c>
      <c r="X37" s="344">
        <f t="shared" si="10"/>
      </c>
      <c r="Y37" s="338"/>
      <c r="Z37" s="344">
        <f t="shared" si="11"/>
      </c>
      <c r="AA37" s="322">
        <f t="shared" si="12"/>
      </c>
      <c r="AB37" s="242" t="s">
        <v>229</v>
      </c>
      <c r="AE37" s="243">
        <f>IF(Q37="",0,Q37*4799)*0.85</f>
        <v>0</v>
      </c>
    </row>
    <row r="38" spans="3:31" ht="12.75" customHeight="1">
      <c r="C38" s="1010"/>
      <c r="D38" s="1071"/>
      <c r="E38" s="364" t="s">
        <v>620</v>
      </c>
      <c r="F38" s="288"/>
      <c r="G38" s="338"/>
      <c r="H38" s="339">
        <v>6.5</v>
      </c>
      <c r="I38" s="340">
        <f t="shared" si="7"/>
        <v>9.719999999999999</v>
      </c>
      <c r="J38" s="341">
        <f>F33*I38</f>
        <v>23.716799999999996</v>
      </c>
      <c r="K38" s="342" t="s">
        <v>233</v>
      </c>
      <c r="L38" s="322">
        <f t="shared" si="8"/>
      </c>
      <c r="M38" s="288"/>
      <c r="N38" s="322">
        <f>IF(Q38="","",L489)</f>
      </c>
      <c r="Q38" s="334"/>
      <c r="S38" s="324" t="s">
        <v>240</v>
      </c>
      <c r="T38" s="288"/>
      <c r="U38" s="343">
        <f t="shared" si="13"/>
      </c>
      <c r="V38" s="338"/>
      <c r="W38" s="344">
        <f t="shared" si="9"/>
      </c>
      <c r="X38" s="344">
        <f t="shared" si="10"/>
      </c>
      <c r="Y38" s="338"/>
      <c r="Z38" s="344">
        <f t="shared" si="11"/>
      </c>
      <c r="AA38" s="322">
        <f t="shared" si="12"/>
      </c>
      <c r="AB38" s="242" t="s">
        <v>229</v>
      </c>
      <c r="AE38" s="243">
        <f>IF(Q38="",0,Q38*5456)*0.85</f>
        <v>0</v>
      </c>
    </row>
    <row r="39" spans="3:31" ht="12.75" customHeight="1">
      <c r="C39" s="1010"/>
      <c r="D39" s="1071"/>
      <c r="E39" s="364" t="s">
        <v>621</v>
      </c>
      <c r="F39" s="288"/>
      <c r="G39" s="338"/>
      <c r="H39" s="339">
        <v>7.5</v>
      </c>
      <c r="I39" s="340">
        <f t="shared" si="7"/>
        <v>11.2</v>
      </c>
      <c r="J39" s="341">
        <f>F33*I39</f>
        <v>27.328</v>
      </c>
      <c r="K39" s="342" t="s">
        <v>233</v>
      </c>
      <c r="L39" s="322">
        <f t="shared" si="8"/>
      </c>
      <c r="M39" s="288"/>
      <c r="N39" s="322">
        <f>IF(Q39="","",L490)</f>
      </c>
      <c r="Q39" s="334"/>
      <c r="S39" s="324" t="s">
        <v>240</v>
      </c>
      <c r="T39" s="288"/>
      <c r="U39" s="343">
        <f t="shared" si="13"/>
      </c>
      <c r="V39" s="338"/>
      <c r="W39" s="344">
        <f t="shared" si="9"/>
      </c>
      <c r="X39" s="344">
        <f t="shared" si="10"/>
      </c>
      <c r="Y39" s="338"/>
      <c r="Z39" s="344">
        <f t="shared" si="11"/>
      </c>
      <c r="AA39" s="322">
        <f t="shared" si="12"/>
      </c>
      <c r="AB39" s="242" t="s">
        <v>229</v>
      </c>
      <c r="AE39" s="243">
        <f>IF(Q39="",0,Q39*6136)*0.85</f>
        <v>0</v>
      </c>
    </row>
    <row r="40" spans="3:31" ht="12.75" customHeight="1">
      <c r="C40" s="1010"/>
      <c r="D40" s="1012">
        <v>0</v>
      </c>
      <c r="E40" s="364" t="s">
        <v>622</v>
      </c>
      <c r="F40" s="288"/>
      <c r="G40" s="338"/>
      <c r="H40" s="339">
        <v>8.5</v>
      </c>
      <c r="I40" s="340">
        <f t="shared" si="7"/>
        <v>12.68</v>
      </c>
      <c r="J40" s="341">
        <f>F33*I40</f>
        <v>30.9392</v>
      </c>
      <c r="K40" s="342" t="s">
        <v>233</v>
      </c>
      <c r="L40" s="322">
        <f t="shared" si="8"/>
      </c>
      <c r="M40" s="288"/>
      <c r="N40" s="322">
        <f>IF(Q40="","",L491)</f>
      </c>
      <c r="Q40" s="334"/>
      <c r="S40" s="324" t="s">
        <v>240</v>
      </c>
      <c r="T40" s="288"/>
      <c r="U40" s="343">
        <f t="shared" si="13"/>
      </c>
      <c r="V40" s="338"/>
      <c r="W40" s="344">
        <f t="shared" si="9"/>
      </c>
      <c r="X40" s="344">
        <f t="shared" si="10"/>
      </c>
      <c r="Y40" s="338"/>
      <c r="Z40" s="344">
        <f t="shared" si="11"/>
      </c>
      <c r="AA40" s="322">
        <f t="shared" si="12"/>
      </c>
      <c r="AB40" s="242" t="s">
        <v>229</v>
      </c>
      <c r="AE40" s="243">
        <f>IF(Q40="",0,Q40*6838)*0.85</f>
        <v>0</v>
      </c>
    </row>
    <row r="41" spans="3:31" ht="12.75" customHeight="1">
      <c r="C41" s="1010"/>
      <c r="D41" s="1013"/>
      <c r="E41" s="345" t="s">
        <v>90</v>
      </c>
      <c r="F41" s="365"/>
      <c r="G41" s="366"/>
      <c r="H41" s="367">
        <v>9.5</v>
      </c>
      <c r="I41" s="368">
        <f t="shared" si="7"/>
        <v>14.16</v>
      </c>
      <c r="J41" s="369">
        <f>F33*I41</f>
        <v>34.550399999999996</v>
      </c>
      <c r="K41" s="370" t="s">
        <v>233</v>
      </c>
      <c r="L41" s="371">
        <f t="shared" si="8"/>
      </c>
      <c r="M41" s="365"/>
      <c r="N41" s="322">
        <f>IF(Q41="","",L492)</f>
      </c>
      <c r="O41" s="353"/>
      <c r="P41" s="372"/>
      <c r="Q41" s="927"/>
      <c r="R41" s="356"/>
      <c r="S41" s="357" t="s">
        <v>240</v>
      </c>
      <c r="T41" s="365"/>
      <c r="U41" s="373">
        <f t="shared" si="13"/>
      </c>
      <c r="V41" s="366"/>
      <c r="W41" s="374">
        <f t="shared" si="9"/>
      </c>
      <c r="X41" s="374">
        <f t="shared" si="10"/>
      </c>
      <c r="Y41" s="366"/>
      <c r="Z41" s="374">
        <f t="shared" si="11"/>
      </c>
      <c r="AA41" s="371">
        <f t="shared" si="12"/>
      </c>
      <c r="AB41" s="360" t="s">
        <v>229</v>
      </c>
      <c r="AC41" s="353"/>
      <c r="AD41" s="353"/>
      <c r="AE41" s="361">
        <f>IF(Q41="",0,Q41*7562)*0.85</f>
        <v>0</v>
      </c>
    </row>
    <row r="42" spans="3:31" ht="19.5" customHeight="1">
      <c r="C42" s="375" t="s">
        <v>242</v>
      </c>
      <c r="D42" s="240" t="s">
        <v>594</v>
      </c>
      <c r="L42" s="1009" t="s">
        <v>711</v>
      </c>
      <c r="M42" s="1009"/>
      <c r="N42" s="376"/>
      <c r="Q42" s="323"/>
      <c r="S42" s="324">
        <f>SUM(Q23:Q41)</f>
        <v>0</v>
      </c>
      <c r="U42" s="245">
        <f>SUM(U23:U41)</f>
        <v>0</v>
      </c>
      <c r="W42" s="246">
        <f>SUM(W23:W41)</f>
        <v>0</v>
      </c>
      <c r="X42" s="246">
        <f>SUM(X23:X41)</f>
        <v>0</v>
      </c>
      <c r="Z42" s="246">
        <f>SUM(Z23:Z41)</f>
        <v>0</v>
      </c>
      <c r="AA42" s="243">
        <f>SUM(AA23:AA41)</f>
        <v>0</v>
      </c>
      <c r="AB42" s="242" t="s">
        <v>229</v>
      </c>
      <c r="AE42" s="243">
        <f>SUM(AE33:AE41)*0.85</f>
        <v>0</v>
      </c>
    </row>
    <row r="43" spans="3:32" ht="3.75" customHeight="1">
      <c r="C43" s="277"/>
      <c r="D43" s="278"/>
      <c r="E43" s="278" t="s">
        <v>521</v>
      </c>
      <c r="F43" s="278"/>
      <c r="G43" s="279"/>
      <c r="H43" s="278"/>
      <c r="I43" s="278"/>
      <c r="J43" s="278"/>
      <c r="K43" s="280"/>
      <c r="L43" s="281"/>
      <c r="M43" s="278"/>
      <c r="N43" s="281"/>
      <c r="O43" s="278"/>
      <c r="P43" s="282"/>
      <c r="Q43" s="283"/>
      <c r="R43" s="284"/>
      <c r="S43" s="285"/>
      <c r="T43" s="278"/>
      <c r="U43" s="286"/>
      <c r="V43" s="279"/>
      <c r="W43" s="287"/>
      <c r="X43" s="287"/>
      <c r="Y43" s="279"/>
      <c r="Z43" s="287"/>
      <c r="AA43" s="281"/>
      <c r="AB43" s="279"/>
      <c r="AC43" s="278"/>
      <c r="AD43" s="278"/>
      <c r="AE43" s="281"/>
      <c r="AF43" s="278"/>
    </row>
    <row r="44" spans="1:31" s="305" customFormat="1" ht="41.25" customHeight="1">
      <c r="A44" s="304"/>
      <c r="C44" s="377"/>
      <c r="E44" s="307" t="s">
        <v>91</v>
      </c>
      <c r="F44" s="308" t="s">
        <v>224</v>
      </c>
      <c r="G44" s="309"/>
      <c r="H44" s="309" t="s">
        <v>225</v>
      </c>
      <c r="I44" s="308" t="s">
        <v>226</v>
      </c>
      <c r="J44" s="310" t="s">
        <v>167</v>
      </c>
      <c r="K44" s="309"/>
      <c r="L44" s="311" t="s">
        <v>249</v>
      </c>
      <c r="M44" s="309"/>
      <c r="N44" s="378" t="s">
        <v>250</v>
      </c>
      <c r="O44" s="309"/>
      <c r="P44" s="313"/>
      <c r="Q44" s="379"/>
      <c r="R44" s="315" t="s">
        <v>165</v>
      </c>
      <c r="S44" s="315"/>
      <c r="T44" s="308"/>
      <c r="U44" s="317" t="s">
        <v>228</v>
      </c>
      <c r="V44" s="309" t="s">
        <v>233</v>
      </c>
      <c r="W44" s="318" t="s">
        <v>441</v>
      </c>
      <c r="X44" s="318" t="s">
        <v>441</v>
      </c>
      <c r="Y44" s="309"/>
      <c r="Z44" s="318" t="s">
        <v>166</v>
      </c>
      <c r="AA44" s="319" t="s">
        <v>166</v>
      </c>
      <c r="AB44" s="309" t="s">
        <v>229</v>
      </c>
      <c r="AC44" s="309"/>
      <c r="AD44" s="309"/>
      <c r="AE44" s="312" t="s">
        <v>230</v>
      </c>
    </row>
    <row r="45" spans="5:31" ht="12.75" customHeight="1">
      <c r="E45" s="320" t="s">
        <v>189</v>
      </c>
      <c r="I45" s="240" t="s">
        <v>231</v>
      </c>
      <c r="J45" s="321" t="s">
        <v>604</v>
      </c>
      <c r="N45" s="322"/>
      <c r="Q45" s="323"/>
      <c r="S45" s="324"/>
      <c r="U45" s="245" t="s">
        <v>233</v>
      </c>
      <c r="W45" s="246" t="s">
        <v>244</v>
      </c>
      <c r="X45" s="246" t="s">
        <v>245</v>
      </c>
      <c r="Z45" s="246" t="s">
        <v>246</v>
      </c>
      <c r="AA45" s="243" t="s">
        <v>247</v>
      </c>
      <c r="AE45" s="309" t="s">
        <v>238</v>
      </c>
    </row>
    <row r="46" spans="3:31" ht="0" customHeight="1" hidden="1">
      <c r="C46" s="325"/>
      <c r="D46" s="1023" t="s">
        <v>581</v>
      </c>
      <c r="E46" s="381" t="s">
        <v>623</v>
      </c>
      <c r="F46" s="327">
        <v>2.74</v>
      </c>
      <c r="G46" s="328" t="s">
        <v>239</v>
      </c>
      <c r="H46" s="329">
        <v>1.5</v>
      </c>
      <c r="I46" s="330">
        <f aca="true" t="shared" si="14" ref="I46:I54">(H46*modul)+eresz</f>
        <v>2.32</v>
      </c>
      <c r="J46" s="331">
        <f>F46*I46</f>
        <v>6.3568</v>
      </c>
      <c r="K46" s="332" t="s">
        <v>233</v>
      </c>
      <c r="L46" s="333">
        <f aca="true" t="shared" si="15" ref="L46:L54">IF(Q46="","",N46*1/afa)</f>
      </c>
      <c r="M46" s="327"/>
      <c r="N46" s="322">
        <f>IF(Q46="","",R485)</f>
      </c>
      <c r="Q46" s="334"/>
      <c r="S46" s="324" t="s">
        <v>240</v>
      </c>
      <c r="U46" s="335">
        <f aca="true" t="shared" si="16" ref="U46:U54">IF(Q46="","",J46*Q46)</f>
      </c>
      <c r="V46" s="328" t="s">
        <v>233</v>
      </c>
      <c r="W46" s="336">
        <f aca="true" t="shared" si="17" ref="W46:W54">IF(X46="","",X46*1/afa)</f>
      </c>
      <c r="X46" s="336">
        <f aca="true" t="shared" si="18" ref="X46:X54">IF(Q46=0,"",ROUNDUP(AA46*euro,-3))</f>
      </c>
      <c r="Y46" s="328" t="s">
        <v>241</v>
      </c>
      <c r="Z46" s="336">
        <f aca="true" t="shared" si="19" ref="Z46:Z54">IF(Q46="","",L46*Q46)</f>
      </c>
      <c r="AA46" s="333">
        <f aca="true" t="shared" si="20" ref="AA46:AA54">IF(Q46="","",Z46*afa)</f>
      </c>
      <c r="AB46" s="242" t="s">
        <v>229</v>
      </c>
      <c r="AE46" s="243">
        <f>IF(Q46="",0,Q46*1381)</f>
        <v>0</v>
      </c>
    </row>
    <row r="47" spans="3:31" ht="0" customHeight="1" hidden="1">
      <c r="C47" s="325"/>
      <c r="D47" s="1024"/>
      <c r="E47" s="382" t="s">
        <v>624</v>
      </c>
      <c r="F47" s="288"/>
      <c r="G47" s="338"/>
      <c r="H47" s="339">
        <v>2.5</v>
      </c>
      <c r="I47" s="340">
        <f t="shared" si="14"/>
        <v>3.8000000000000003</v>
      </c>
      <c r="J47" s="341">
        <f>F46*I47</f>
        <v>10.412</v>
      </c>
      <c r="K47" s="342" t="s">
        <v>233</v>
      </c>
      <c r="L47" s="322">
        <f t="shared" si="15"/>
      </c>
      <c r="M47" s="288"/>
      <c r="N47" s="322">
        <f>IF(Q47="","",R486)</f>
      </c>
      <c r="Q47" s="334"/>
      <c r="S47" s="324" t="s">
        <v>240</v>
      </c>
      <c r="U47" s="343">
        <f t="shared" si="16"/>
      </c>
      <c r="V47" s="338"/>
      <c r="W47" s="344">
        <f t="shared" si="17"/>
      </c>
      <c r="X47" s="344">
        <f t="shared" si="18"/>
      </c>
      <c r="Y47" s="338"/>
      <c r="Z47" s="344">
        <f t="shared" si="19"/>
      </c>
      <c r="AA47" s="322">
        <f t="shared" si="20"/>
      </c>
      <c r="AE47" s="243">
        <f>IF(Q47="",0,Q47*1950)</f>
        <v>0</v>
      </c>
    </row>
    <row r="48" spans="3:31" ht="0" customHeight="1" hidden="1">
      <c r="C48" s="325"/>
      <c r="D48" s="1024"/>
      <c r="E48" s="382" t="s">
        <v>625</v>
      </c>
      <c r="F48" s="288"/>
      <c r="G48" s="338"/>
      <c r="H48" s="339">
        <v>3.5</v>
      </c>
      <c r="I48" s="340">
        <f t="shared" si="14"/>
        <v>5.279999999999999</v>
      </c>
      <c r="J48" s="341">
        <f>F46*I48</f>
        <v>14.4672</v>
      </c>
      <c r="K48" s="342" t="s">
        <v>233</v>
      </c>
      <c r="L48" s="322">
        <f t="shared" si="15"/>
      </c>
      <c r="M48" s="288"/>
      <c r="N48" s="322">
        <f>IF(Q48="","",R487)</f>
      </c>
      <c r="Q48" s="334"/>
      <c r="S48" s="324" t="s">
        <v>240</v>
      </c>
      <c r="U48" s="343">
        <f t="shared" si="16"/>
      </c>
      <c r="V48" s="338"/>
      <c r="W48" s="344">
        <f t="shared" si="17"/>
      </c>
      <c r="X48" s="344">
        <f t="shared" si="18"/>
      </c>
      <c r="Y48" s="338"/>
      <c r="Z48" s="344">
        <f t="shared" si="19"/>
      </c>
      <c r="AA48" s="322">
        <f t="shared" si="20"/>
      </c>
      <c r="AE48" s="243">
        <f>IF(Q48="",0,Q48*2547)</f>
        <v>0</v>
      </c>
    </row>
    <row r="49" spans="3:31" ht="0" customHeight="1" hidden="1">
      <c r="C49" s="325"/>
      <c r="D49" s="1024"/>
      <c r="E49" s="382" t="s">
        <v>626</v>
      </c>
      <c r="F49" s="288"/>
      <c r="G49" s="338"/>
      <c r="H49" s="339">
        <v>4.5</v>
      </c>
      <c r="I49" s="340">
        <f t="shared" si="14"/>
        <v>6.76</v>
      </c>
      <c r="J49" s="341">
        <f>F46*I49</f>
        <v>18.5224</v>
      </c>
      <c r="K49" s="342" t="s">
        <v>233</v>
      </c>
      <c r="L49" s="322">
        <f t="shared" si="15"/>
      </c>
      <c r="M49" s="288"/>
      <c r="N49" s="322">
        <f>IF(Q49="","",R488)</f>
      </c>
      <c r="Q49" s="334"/>
      <c r="S49" s="324" t="s">
        <v>240</v>
      </c>
      <c r="U49" s="343">
        <f t="shared" si="16"/>
      </c>
      <c r="V49" s="338"/>
      <c r="W49" s="344">
        <f t="shared" si="17"/>
      </c>
      <c r="X49" s="344">
        <f t="shared" si="18"/>
      </c>
      <c r="Y49" s="338"/>
      <c r="Z49" s="344">
        <f t="shared" si="19"/>
      </c>
      <c r="AA49" s="322">
        <f t="shared" si="20"/>
      </c>
      <c r="AE49" s="243">
        <f>IF(Q49="",0,Q49*4212)</f>
        <v>0</v>
      </c>
    </row>
    <row r="50" spans="3:31" ht="0" customHeight="1" hidden="1">
      <c r="C50" s="325"/>
      <c r="D50" s="1024"/>
      <c r="E50" s="382" t="s">
        <v>627</v>
      </c>
      <c r="F50" s="288"/>
      <c r="G50" s="338"/>
      <c r="H50" s="339">
        <v>5.5</v>
      </c>
      <c r="I50" s="340">
        <f t="shared" si="14"/>
        <v>8.24</v>
      </c>
      <c r="J50" s="341">
        <f>F46*I50</f>
        <v>22.577600000000004</v>
      </c>
      <c r="K50" s="342" t="s">
        <v>233</v>
      </c>
      <c r="L50" s="322">
        <f t="shared" si="15"/>
      </c>
      <c r="M50" s="288"/>
      <c r="N50" s="322">
        <f>IF(Q50="","",R489)</f>
      </c>
      <c r="Q50" s="334"/>
      <c r="S50" s="324" t="s">
        <v>240</v>
      </c>
      <c r="U50" s="343">
        <f t="shared" si="16"/>
      </c>
      <c r="V50" s="338"/>
      <c r="W50" s="344">
        <f t="shared" si="17"/>
      </c>
      <c r="X50" s="344">
        <f t="shared" si="18"/>
      </c>
      <c r="Y50" s="338"/>
      <c r="Z50" s="344">
        <f t="shared" si="19"/>
      </c>
      <c r="AA50" s="322">
        <f t="shared" si="20"/>
      </c>
      <c r="AE50" s="243">
        <f>IF(Q50="",0,Q50*4853)</f>
        <v>0</v>
      </c>
    </row>
    <row r="51" spans="3:31" ht="0" customHeight="1" hidden="1">
      <c r="C51" s="325"/>
      <c r="D51" s="1024"/>
      <c r="E51" s="382" t="s">
        <v>628</v>
      </c>
      <c r="F51" s="288"/>
      <c r="G51" s="338"/>
      <c r="H51" s="339">
        <v>6.5</v>
      </c>
      <c r="I51" s="340">
        <f t="shared" si="14"/>
        <v>9.719999999999999</v>
      </c>
      <c r="J51" s="341">
        <f>F46*I51</f>
        <v>26.6328</v>
      </c>
      <c r="K51" s="342" t="s">
        <v>233</v>
      </c>
      <c r="L51" s="322">
        <f t="shared" si="15"/>
      </c>
      <c r="M51" s="288"/>
      <c r="N51" s="322">
        <f>IF(Q51="","",R490)</f>
      </c>
      <c r="Q51" s="334"/>
      <c r="S51" s="324" t="s">
        <v>240</v>
      </c>
      <c r="U51" s="343">
        <f t="shared" si="16"/>
      </c>
      <c r="V51" s="338"/>
      <c r="W51" s="344">
        <f t="shared" si="17"/>
      </c>
      <c r="X51" s="344">
        <f t="shared" si="18"/>
      </c>
      <c r="Y51" s="338"/>
      <c r="Z51" s="344">
        <f t="shared" si="19"/>
      </c>
      <c r="AA51" s="322">
        <f t="shared" si="20"/>
      </c>
      <c r="AE51" s="243">
        <f>IF(Q51="",0,Q51*5517)</f>
        <v>0</v>
      </c>
    </row>
    <row r="52" spans="3:31" ht="0" customHeight="1" hidden="1">
      <c r="C52" s="325"/>
      <c r="D52" s="1024"/>
      <c r="E52" s="382" t="s">
        <v>629</v>
      </c>
      <c r="F52" s="288"/>
      <c r="G52" s="338"/>
      <c r="H52" s="339">
        <v>7.5</v>
      </c>
      <c r="I52" s="340">
        <f t="shared" si="14"/>
        <v>11.2</v>
      </c>
      <c r="J52" s="341">
        <f>F46*I52</f>
        <v>30.688</v>
      </c>
      <c r="K52" s="342" t="s">
        <v>233</v>
      </c>
      <c r="L52" s="322">
        <f t="shared" si="15"/>
      </c>
      <c r="M52" s="288"/>
      <c r="N52" s="322">
        <f>IF(Q52="","",R491)</f>
      </c>
      <c r="Q52" s="334"/>
      <c r="S52" s="324" t="s">
        <v>240</v>
      </c>
      <c r="U52" s="343">
        <f t="shared" si="16"/>
      </c>
      <c r="V52" s="338"/>
      <c r="W52" s="344">
        <f t="shared" si="17"/>
      </c>
      <c r="X52" s="344">
        <f t="shared" si="18"/>
      </c>
      <c r="Y52" s="338"/>
      <c r="Z52" s="344">
        <f t="shared" si="19"/>
      </c>
      <c r="AA52" s="322">
        <f t="shared" si="20"/>
      </c>
      <c r="AE52" s="243">
        <f>IF(Q52="",0,Q52*6203)</f>
        <v>0</v>
      </c>
    </row>
    <row r="53" spans="3:31" ht="0" customHeight="1" hidden="1">
      <c r="C53" s="325"/>
      <c r="D53" s="1038" t="s">
        <v>568</v>
      </c>
      <c r="E53" s="382" t="s">
        <v>630</v>
      </c>
      <c r="F53" s="288"/>
      <c r="G53" s="338"/>
      <c r="H53" s="339">
        <v>8.5</v>
      </c>
      <c r="I53" s="340">
        <f t="shared" si="14"/>
        <v>12.68</v>
      </c>
      <c r="J53" s="341">
        <f>F46*I53</f>
        <v>34.7432</v>
      </c>
      <c r="K53" s="342" t="s">
        <v>233</v>
      </c>
      <c r="L53" s="322">
        <f t="shared" si="15"/>
      </c>
      <c r="M53" s="288"/>
      <c r="N53" s="322">
        <f>IF(Q53="","",R492)</f>
      </c>
      <c r="Q53" s="334"/>
      <c r="S53" s="324" t="s">
        <v>240</v>
      </c>
      <c r="U53" s="343">
        <f t="shared" si="16"/>
      </c>
      <c r="V53" s="338"/>
      <c r="W53" s="344">
        <f t="shared" si="17"/>
      </c>
      <c r="X53" s="344">
        <f t="shared" si="18"/>
      </c>
      <c r="Y53" s="338"/>
      <c r="Z53" s="344">
        <f t="shared" si="19"/>
      </c>
      <c r="AA53" s="322">
        <f t="shared" si="20"/>
      </c>
      <c r="AE53" s="243">
        <f>IF(Q53="",0,Q53*6911)</f>
        <v>0</v>
      </c>
    </row>
    <row r="54" spans="3:31" ht="0" customHeight="1" hidden="1">
      <c r="C54" s="325"/>
      <c r="D54" s="1039"/>
      <c r="E54" s="345" t="s">
        <v>631</v>
      </c>
      <c r="F54" s="346"/>
      <c r="G54" s="347"/>
      <c r="H54" s="348">
        <v>9.5</v>
      </c>
      <c r="I54" s="349">
        <f t="shared" si="14"/>
        <v>14.16</v>
      </c>
      <c r="J54" s="350">
        <f>F46*I54</f>
        <v>38.7984</v>
      </c>
      <c r="K54" s="351" t="s">
        <v>233</v>
      </c>
      <c r="L54" s="352">
        <f t="shared" si="15"/>
      </c>
      <c r="M54" s="346"/>
      <c r="N54" s="352">
        <f>IF(Q54="","",R492)</f>
      </c>
      <c r="O54" s="353"/>
      <c r="P54" s="372"/>
      <c r="Q54" s="355"/>
      <c r="R54" s="356"/>
      <c r="S54" s="357" t="s">
        <v>240</v>
      </c>
      <c r="T54" s="353"/>
      <c r="U54" s="358">
        <f t="shared" si="16"/>
      </c>
      <c r="V54" s="347"/>
      <c r="W54" s="359">
        <f t="shared" si="17"/>
      </c>
      <c r="X54" s="359">
        <f t="shared" si="18"/>
      </c>
      <c r="Y54" s="347"/>
      <c r="Z54" s="359">
        <f t="shared" si="19"/>
      </c>
      <c r="AA54" s="352">
        <f t="shared" si="20"/>
      </c>
      <c r="AB54" s="360"/>
      <c r="AC54" s="353"/>
      <c r="AD54" s="353"/>
      <c r="AE54" s="361">
        <f>IF(Q54="",0,Q54*7642)</f>
        <v>0</v>
      </c>
    </row>
    <row r="55" spans="5:31" ht="19.5" customHeight="1">
      <c r="E55" s="362" t="str">
        <f>E32</f>
        <v>Lapszerelt/szerkezetkész dominók   ˇ</v>
      </c>
      <c r="F55" s="363" t="s">
        <v>614</v>
      </c>
      <c r="G55" s="338"/>
      <c r="H55" s="288"/>
      <c r="I55" s="288"/>
      <c r="J55" s="288"/>
      <c r="K55" s="342"/>
      <c r="L55" s="322"/>
      <c r="M55" s="288"/>
      <c r="N55" s="322"/>
      <c r="Q55" s="323"/>
      <c r="S55" s="324"/>
      <c r="U55" s="343"/>
      <c r="V55" s="338"/>
      <c r="W55" s="344"/>
      <c r="X55" s="344"/>
      <c r="Y55" s="338"/>
      <c r="Z55" s="344"/>
      <c r="AA55" s="322"/>
      <c r="AE55" s="243">
        <f>SUM(AE46:AE54)</f>
        <v>0</v>
      </c>
    </row>
    <row r="56" spans="3:31" ht="12.75" customHeight="1">
      <c r="C56" s="1010"/>
      <c r="D56" s="1011" t="s">
        <v>92</v>
      </c>
      <c r="E56" s="364" t="s">
        <v>632</v>
      </c>
      <c r="F56" s="288">
        <v>2.74</v>
      </c>
      <c r="G56" s="338" t="s">
        <v>239</v>
      </c>
      <c r="H56" s="339">
        <v>1.5</v>
      </c>
      <c r="I56" s="340">
        <f aca="true" t="shared" si="21" ref="I56:I64">(H56*modul)+eresz</f>
        <v>2.32</v>
      </c>
      <c r="J56" s="341">
        <f>F56*I56</f>
        <v>6.3568</v>
      </c>
      <c r="K56" s="342" t="s">
        <v>233</v>
      </c>
      <c r="L56" s="322">
        <f aca="true" t="shared" si="22" ref="L56:L64">IF(Q56="","",N56*1/afa)</f>
      </c>
      <c r="M56" s="288"/>
      <c r="N56" s="322">
        <f>IF(Q56="","",X484)</f>
      </c>
      <c r="Q56" s="334"/>
      <c r="S56" s="324" t="s">
        <v>240</v>
      </c>
      <c r="U56" s="959">
        <f>IF(Q56="","",J56*Q56*0)</f>
      </c>
      <c r="V56" s="338" t="s">
        <v>233</v>
      </c>
      <c r="W56" s="344">
        <f aca="true" t="shared" si="23" ref="W56:W64">IF(X56="","",X56*1/afa)</f>
      </c>
      <c r="X56" s="344">
        <f aca="true" t="shared" si="24" ref="X56:X64">IF(Q56=0,"",ROUNDUP(AA56*euro,-3))</f>
      </c>
      <c r="Y56" s="338" t="s">
        <v>241</v>
      </c>
      <c r="Z56" s="344">
        <f aca="true" t="shared" si="25" ref="Z56:Z64">IF(Q56="","",L56*Q56)</f>
      </c>
      <c r="AA56" s="322">
        <f aca="true" t="shared" si="26" ref="AA56:AA64">IF(Q56="","",Z56*afa)</f>
      </c>
      <c r="AB56" s="242" t="s">
        <v>229</v>
      </c>
      <c r="AE56" s="243">
        <f>IF(Q56="",0,Q56*1381)*0.85*0</f>
        <v>0</v>
      </c>
    </row>
    <row r="57" spans="3:31" ht="12.75" customHeight="1">
      <c r="C57" s="1010"/>
      <c r="D57" s="1011"/>
      <c r="E57" s="364" t="s">
        <v>633</v>
      </c>
      <c r="F57" s="288"/>
      <c r="G57" s="338"/>
      <c r="H57" s="339">
        <v>2.5</v>
      </c>
      <c r="I57" s="340">
        <f t="shared" si="21"/>
        <v>3.8000000000000003</v>
      </c>
      <c r="J57" s="341">
        <f>F56*I57</f>
        <v>10.412</v>
      </c>
      <c r="K57" s="342" t="s">
        <v>233</v>
      </c>
      <c r="L57" s="322">
        <f t="shared" si="22"/>
      </c>
      <c r="M57" s="288"/>
      <c r="N57" s="322">
        <f>IF(Q57="","",X485)</f>
      </c>
      <c r="Q57" s="334"/>
      <c r="S57" s="324" t="s">
        <v>240</v>
      </c>
      <c r="U57" s="343">
        <f aca="true" t="shared" si="27" ref="U57:U64">IF(Q57="","",J57*Q57)</f>
      </c>
      <c r="V57" s="338"/>
      <c r="W57" s="344">
        <f t="shared" si="23"/>
      </c>
      <c r="X57" s="344">
        <f t="shared" si="24"/>
      </c>
      <c r="Y57" s="338"/>
      <c r="Z57" s="344">
        <f t="shared" si="25"/>
      </c>
      <c r="AA57" s="322">
        <f t="shared" si="26"/>
      </c>
      <c r="AE57" s="243">
        <f>IF(Q57="",0,Q57*1950)*0.85</f>
        <v>0</v>
      </c>
    </row>
    <row r="58" spans="3:31" ht="12.75" customHeight="1">
      <c r="C58" s="1010"/>
      <c r="D58" s="1011"/>
      <c r="E58" s="364" t="s">
        <v>634</v>
      </c>
      <c r="F58" s="288"/>
      <c r="G58" s="338"/>
      <c r="H58" s="339">
        <v>3.5</v>
      </c>
      <c r="I58" s="340">
        <f t="shared" si="21"/>
        <v>5.279999999999999</v>
      </c>
      <c r="J58" s="341">
        <f>F56*I58</f>
        <v>14.4672</v>
      </c>
      <c r="K58" s="342" t="s">
        <v>233</v>
      </c>
      <c r="L58" s="322">
        <f t="shared" si="22"/>
      </c>
      <c r="M58" s="288"/>
      <c r="N58" s="322">
        <f>IF(Q58="","",X486)</f>
      </c>
      <c r="Q58" s="334"/>
      <c r="S58" s="324" t="s">
        <v>240</v>
      </c>
      <c r="U58" s="343">
        <f t="shared" si="27"/>
      </c>
      <c r="V58" s="338"/>
      <c r="W58" s="344">
        <f t="shared" si="23"/>
      </c>
      <c r="X58" s="344">
        <f t="shared" si="24"/>
      </c>
      <c r="Y58" s="338"/>
      <c r="Z58" s="344">
        <f t="shared" si="25"/>
      </c>
      <c r="AA58" s="322">
        <f t="shared" si="26"/>
      </c>
      <c r="AE58" s="243">
        <f>IF(Q58="",0,Q58*2547)*0.85</f>
        <v>0</v>
      </c>
    </row>
    <row r="59" spans="3:31" ht="12.75" customHeight="1">
      <c r="C59" s="1010"/>
      <c r="D59" s="1011"/>
      <c r="E59" s="364" t="s">
        <v>635</v>
      </c>
      <c r="F59" s="288"/>
      <c r="G59" s="338"/>
      <c r="H59" s="339">
        <v>4.5</v>
      </c>
      <c r="I59" s="340">
        <f t="shared" si="21"/>
        <v>6.76</v>
      </c>
      <c r="J59" s="341">
        <f>F56*I59</f>
        <v>18.5224</v>
      </c>
      <c r="K59" s="342" t="s">
        <v>233</v>
      </c>
      <c r="L59" s="322">
        <f t="shared" si="22"/>
      </c>
      <c r="M59" s="288"/>
      <c r="N59" s="322">
        <f>IF(Q59="","",X487)</f>
      </c>
      <c r="Q59" s="334"/>
      <c r="S59" s="324" t="s">
        <v>240</v>
      </c>
      <c r="U59" s="343">
        <f t="shared" si="27"/>
      </c>
      <c r="V59" s="338"/>
      <c r="W59" s="344">
        <f t="shared" si="23"/>
      </c>
      <c r="X59" s="344">
        <f t="shared" si="24"/>
      </c>
      <c r="Y59" s="338"/>
      <c r="Z59" s="344">
        <f t="shared" si="25"/>
      </c>
      <c r="AA59" s="322">
        <f t="shared" si="26"/>
      </c>
      <c r="AE59" s="243">
        <f>IF(Q59="",0,Q59*4212)*0.85</f>
        <v>0</v>
      </c>
    </row>
    <row r="60" spans="3:31" ht="12.75" customHeight="1">
      <c r="C60" s="1010"/>
      <c r="D60" s="1011"/>
      <c r="E60" s="364" t="s">
        <v>636</v>
      </c>
      <c r="F60" s="288"/>
      <c r="G60" s="338"/>
      <c r="H60" s="339">
        <v>5.5</v>
      </c>
      <c r="I60" s="340">
        <f t="shared" si="21"/>
        <v>8.24</v>
      </c>
      <c r="J60" s="341">
        <f>F56*I60</f>
        <v>22.577600000000004</v>
      </c>
      <c r="K60" s="342" t="s">
        <v>233</v>
      </c>
      <c r="L60" s="322">
        <f t="shared" si="22"/>
      </c>
      <c r="M60" s="288"/>
      <c r="N60" s="322">
        <f>IF(Q60="","",X488)</f>
      </c>
      <c r="Q60" s="334"/>
      <c r="S60" s="324" t="s">
        <v>240</v>
      </c>
      <c r="U60" s="343">
        <f t="shared" si="27"/>
      </c>
      <c r="V60" s="338"/>
      <c r="W60" s="344">
        <f t="shared" si="23"/>
      </c>
      <c r="X60" s="344">
        <f t="shared" si="24"/>
      </c>
      <c r="Y60" s="338"/>
      <c r="Z60" s="344">
        <f t="shared" si="25"/>
      </c>
      <c r="AA60" s="322">
        <f t="shared" si="26"/>
      </c>
      <c r="AE60" s="243">
        <f>IF(Q60="",0,Q60*4853)*0.85</f>
        <v>0</v>
      </c>
    </row>
    <row r="61" spans="3:31" ht="12.75" customHeight="1">
      <c r="C61" s="1010"/>
      <c r="D61" s="1011"/>
      <c r="E61" s="364" t="s">
        <v>637</v>
      </c>
      <c r="F61" s="288"/>
      <c r="G61" s="338"/>
      <c r="H61" s="339">
        <v>6.5</v>
      </c>
      <c r="I61" s="340">
        <f t="shared" si="21"/>
        <v>9.719999999999999</v>
      </c>
      <c r="J61" s="341">
        <f>F56*I61</f>
        <v>26.6328</v>
      </c>
      <c r="K61" s="342" t="s">
        <v>233</v>
      </c>
      <c r="L61" s="322">
        <f t="shared" si="22"/>
      </c>
      <c r="M61" s="288"/>
      <c r="N61" s="322">
        <f>IF(Q61="","",X489)</f>
      </c>
      <c r="Q61" s="334"/>
      <c r="S61" s="324" t="s">
        <v>240</v>
      </c>
      <c r="U61" s="343">
        <f t="shared" si="27"/>
      </c>
      <c r="V61" s="338"/>
      <c r="W61" s="344">
        <f t="shared" si="23"/>
      </c>
      <c r="X61" s="344">
        <f t="shared" si="24"/>
      </c>
      <c r="Y61" s="338"/>
      <c r="Z61" s="344">
        <f t="shared" si="25"/>
      </c>
      <c r="AA61" s="322">
        <f t="shared" si="26"/>
      </c>
      <c r="AE61" s="243">
        <f>IF(Q61="",0,Q61*5517)*0.85</f>
        <v>0</v>
      </c>
    </row>
    <row r="62" spans="3:31" ht="12.75" customHeight="1">
      <c r="C62" s="1010"/>
      <c r="D62" s="1011"/>
      <c r="E62" s="364" t="s">
        <v>638</v>
      </c>
      <c r="F62" s="288"/>
      <c r="G62" s="338"/>
      <c r="H62" s="339">
        <v>7.5</v>
      </c>
      <c r="I62" s="340">
        <f t="shared" si="21"/>
        <v>11.2</v>
      </c>
      <c r="J62" s="341">
        <f>F56*I62</f>
        <v>30.688</v>
      </c>
      <c r="K62" s="342" t="s">
        <v>233</v>
      </c>
      <c r="L62" s="322">
        <f t="shared" si="22"/>
      </c>
      <c r="M62" s="288"/>
      <c r="N62" s="322">
        <f>IF(Q62="","",X490)</f>
      </c>
      <c r="Q62" s="334"/>
      <c r="S62" s="324" t="s">
        <v>240</v>
      </c>
      <c r="U62" s="343">
        <f t="shared" si="27"/>
      </c>
      <c r="V62" s="338"/>
      <c r="W62" s="344">
        <f t="shared" si="23"/>
      </c>
      <c r="X62" s="344">
        <f t="shared" si="24"/>
      </c>
      <c r="Y62" s="338"/>
      <c r="Z62" s="344">
        <f t="shared" si="25"/>
      </c>
      <c r="AA62" s="322">
        <f t="shared" si="26"/>
      </c>
      <c r="AE62" s="243">
        <f>IF(Q62="",0,Q62*6203)*0.85</f>
        <v>0</v>
      </c>
    </row>
    <row r="63" spans="3:31" ht="12.75" customHeight="1">
      <c r="C63" s="1010"/>
      <c r="D63" s="1012">
        <f>D40</f>
        <v>0</v>
      </c>
      <c r="E63" s="364" t="s">
        <v>639</v>
      </c>
      <c r="F63" s="288"/>
      <c r="G63" s="338"/>
      <c r="H63" s="339">
        <v>8.5</v>
      </c>
      <c r="I63" s="340">
        <f t="shared" si="21"/>
        <v>12.68</v>
      </c>
      <c r="J63" s="341">
        <f>F56*I63</f>
        <v>34.7432</v>
      </c>
      <c r="K63" s="342" t="s">
        <v>233</v>
      </c>
      <c r="L63" s="322">
        <f t="shared" si="22"/>
      </c>
      <c r="M63" s="288"/>
      <c r="N63" s="322">
        <f>IF(Q63="","",X491)</f>
      </c>
      <c r="Q63" s="334"/>
      <c r="S63" s="324" t="s">
        <v>240</v>
      </c>
      <c r="U63" s="343">
        <f t="shared" si="27"/>
      </c>
      <c r="V63" s="338"/>
      <c r="W63" s="344">
        <f t="shared" si="23"/>
      </c>
      <c r="X63" s="344">
        <f t="shared" si="24"/>
      </c>
      <c r="Y63" s="338"/>
      <c r="Z63" s="344">
        <f t="shared" si="25"/>
      </c>
      <c r="AA63" s="322">
        <f t="shared" si="26"/>
      </c>
      <c r="AE63" s="243">
        <f>IF(Q63="",0,Q63*6911)*0.85</f>
        <v>0</v>
      </c>
    </row>
    <row r="64" spans="3:31" ht="12.75" customHeight="1">
      <c r="C64" s="1010"/>
      <c r="D64" s="1013"/>
      <c r="E64" s="345" t="s">
        <v>640</v>
      </c>
      <c r="F64" s="365"/>
      <c r="G64" s="366"/>
      <c r="H64" s="367">
        <v>9.5</v>
      </c>
      <c r="I64" s="368">
        <f t="shared" si="21"/>
        <v>14.16</v>
      </c>
      <c r="J64" s="369">
        <f>F56*I64</f>
        <v>38.7984</v>
      </c>
      <c r="K64" s="370" t="s">
        <v>233</v>
      </c>
      <c r="L64" s="371">
        <f t="shared" si="22"/>
      </c>
      <c r="M64" s="365"/>
      <c r="N64" s="322">
        <f>IF(Q64="","",X492)</f>
      </c>
      <c r="O64" s="353"/>
      <c r="P64" s="372"/>
      <c r="Q64" s="927"/>
      <c r="R64" s="356"/>
      <c r="S64" s="357" t="s">
        <v>240</v>
      </c>
      <c r="T64" s="353"/>
      <c r="U64" s="373">
        <f t="shared" si="27"/>
      </c>
      <c r="V64" s="366"/>
      <c r="W64" s="374">
        <f t="shared" si="23"/>
      </c>
      <c r="X64" s="374">
        <f t="shared" si="24"/>
      </c>
      <c r="Y64" s="366"/>
      <c r="Z64" s="374">
        <f t="shared" si="25"/>
      </c>
      <c r="AA64" s="371">
        <f t="shared" si="26"/>
      </c>
      <c r="AB64" s="360"/>
      <c r="AC64" s="353"/>
      <c r="AD64" s="353"/>
      <c r="AE64" s="361">
        <f>IF(Q64="",0,Q64*7642)*0.85</f>
        <v>0</v>
      </c>
    </row>
    <row r="65" spans="3:31" ht="19.5" customHeight="1">
      <c r="C65" s="375" t="s">
        <v>248</v>
      </c>
      <c r="D65" s="240" t="s">
        <v>93</v>
      </c>
      <c r="L65" s="1009" t="s">
        <v>711</v>
      </c>
      <c r="M65" s="1009"/>
      <c r="N65" s="376"/>
      <c r="Q65" s="323"/>
      <c r="S65" s="324">
        <f>SUM(Q46:Q64)</f>
        <v>0</v>
      </c>
      <c r="U65" s="245">
        <f>SUM(U46:U64)</f>
        <v>0</v>
      </c>
      <c r="W65" s="246">
        <f>SUM(W46:W64)</f>
        <v>0</v>
      </c>
      <c r="X65" s="246">
        <f>SUM(X46:X64)</f>
        <v>0</v>
      </c>
      <c r="Z65" s="246">
        <f>SUM(Z46:Z64)</f>
        <v>0</v>
      </c>
      <c r="AA65" s="243">
        <f>SUM(AA46:AA64)</f>
        <v>0</v>
      </c>
      <c r="AB65" s="242" t="s">
        <v>229</v>
      </c>
      <c r="AE65" s="243">
        <f>SUM(AE56:AE64)*0.85</f>
        <v>0</v>
      </c>
    </row>
    <row r="66" spans="3:32" ht="3.75" customHeight="1">
      <c r="C66" s="277"/>
      <c r="D66" s="278"/>
      <c r="E66" s="278" t="s">
        <v>521</v>
      </c>
      <c r="F66" s="278"/>
      <c r="G66" s="279"/>
      <c r="H66" s="278"/>
      <c r="I66" s="278"/>
      <c r="J66" s="278"/>
      <c r="K66" s="280"/>
      <c r="L66" s="281"/>
      <c r="M66" s="278"/>
      <c r="N66" s="281"/>
      <c r="O66" s="278"/>
      <c r="P66" s="282"/>
      <c r="Q66" s="283"/>
      <c r="R66" s="284"/>
      <c r="S66" s="285"/>
      <c r="T66" s="278"/>
      <c r="U66" s="286"/>
      <c r="V66" s="279"/>
      <c r="W66" s="287"/>
      <c r="X66" s="287"/>
      <c r="Y66" s="279"/>
      <c r="Z66" s="287"/>
      <c r="AA66" s="281"/>
      <c r="AB66" s="279"/>
      <c r="AC66" s="278"/>
      <c r="AD66" s="278"/>
      <c r="AE66" s="281"/>
      <c r="AF66" s="278"/>
    </row>
    <row r="67" spans="1:31" s="305" customFormat="1" ht="41.25" customHeight="1">
      <c r="A67" s="304"/>
      <c r="C67" s="377"/>
      <c r="E67" s="307" t="s">
        <v>94</v>
      </c>
      <c r="F67" s="308" t="s">
        <v>224</v>
      </c>
      <c r="G67" s="309"/>
      <c r="H67" s="309" t="s">
        <v>225</v>
      </c>
      <c r="I67" s="308" t="s">
        <v>226</v>
      </c>
      <c r="J67" s="310" t="s">
        <v>167</v>
      </c>
      <c r="K67" s="309"/>
      <c r="L67" s="311" t="s">
        <v>249</v>
      </c>
      <c r="M67" s="309"/>
      <c r="N67" s="378" t="s">
        <v>250</v>
      </c>
      <c r="O67" s="309"/>
      <c r="P67" s="313"/>
      <c r="Q67" s="379"/>
      <c r="R67" s="315" t="s">
        <v>165</v>
      </c>
      <c r="S67" s="315"/>
      <c r="T67" s="308"/>
      <c r="U67" s="317" t="s">
        <v>228</v>
      </c>
      <c r="V67" s="309" t="s">
        <v>233</v>
      </c>
      <c r="W67" s="318" t="s">
        <v>441</v>
      </c>
      <c r="X67" s="318" t="s">
        <v>441</v>
      </c>
      <c r="Y67" s="309"/>
      <c r="Z67" s="318" t="s">
        <v>166</v>
      </c>
      <c r="AA67" s="319" t="s">
        <v>166</v>
      </c>
      <c r="AB67" s="309" t="s">
        <v>229</v>
      </c>
      <c r="AC67" s="309"/>
      <c r="AD67" s="309"/>
      <c r="AE67" s="312" t="s">
        <v>230</v>
      </c>
    </row>
    <row r="68" spans="5:31" ht="12.75" customHeight="1">
      <c r="E68" s="320" t="s">
        <v>189</v>
      </c>
      <c r="I68" s="240" t="s">
        <v>231</v>
      </c>
      <c r="J68" s="240" t="s">
        <v>641</v>
      </c>
      <c r="N68" s="322"/>
      <c r="Q68" s="323"/>
      <c r="S68" s="324"/>
      <c r="U68" s="245" t="s">
        <v>233</v>
      </c>
      <c r="W68" s="246" t="s">
        <v>234</v>
      </c>
      <c r="X68" s="246" t="s">
        <v>235</v>
      </c>
      <c r="Z68" s="246" t="s">
        <v>236</v>
      </c>
      <c r="AA68" s="243" t="s">
        <v>237</v>
      </c>
      <c r="AE68" s="309" t="s">
        <v>238</v>
      </c>
    </row>
    <row r="69" spans="3:31" ht="0" customHeight="1" hidden="1">
      <c r="C69" s="325"/>
      <c r="D69" s="1023" t="s">
        <v>95</v>
      </c>
      <c r="E69" s="383" t="s">
        <v>642</v>
      </c>
      <c r="F69" s="327">
        <v>3.04</v>
      </c>
      <c r="G69" s="328" t="s">
        <v>239</v>
      </c>
      <c r="H69" s="329">
        <v>1.5</v>
      </c>
      <c r="I69" s="330">
        <f aca="true" t="shared" si="28" ref="I69:I77">(H69*modul)+eresz</f>
        <v>2.32</v>
      </c>
      <c r="J69" s="331">
        <f>F69*I69</f>
        <v>7.0527999999999995</v>
      </c>
      <c r="K69" s="332" t="s">
        <v>233</v>
      </c>
      <c r="L69" s="333">
        <f aca="true" t="shared" si="29" ref="L69:L77">IF(Q69="","",N69*1/afa)</f>
      </c>
      <c r="M69" s="327"/>
      <c r="N69" s="322">
        <f>IF(Q69="","",F495)</f>
      </c>
      <c r="Q69" s="334"/>
      <c r="S69" s="324" t="s">
        <v>240</v>
      </c>
      <c r="U69" s="335">
        <f aca="true" t="shared" si="30" ref="U69:U77">IF(Q69="","",J69*Q69)</f>
      </c>
      <c r="V69" s="328" t="s">
        <v>233</v>
      </c>
      <c r="W69" s="336">
        <f aca="true" t="shared" si="31" ref="W69:W77">IF(X69="","",X69*1/afa)</f>
      </c>
      <c r="X69" s="336">
        <f aca="true" t="shared" si="32" ref="X69:X77">IF(Q69=0,"",ROUNDUP(AA69*euro,-3))</f>
      </c>
      <c r="Y69" s="328" t="s">
        <v>241</v>
      </c>
      <c r="Z69" s="336">
        <f aca="true" t="shared" si="33" ref="Z69:Z77">IF(Q69="","",L69*Q69)</f>
      </c>
      <c r="AA69" s="333">
        <f aca="true" t="shared" si="34" ref="AA69:AA77">IF(Q69="","",Z69*afa)</f>
      </c>
      <c r="AB69" s="242" t="s">
        <v>229</v>
      </c>
      <c r="AE69" s="243">
        <f>IF(Q69="",0,Q69*1444)</f>
        <v>0</v>
      </c>
    </row>
    <row r="70" spans="3:31" ht="0" customHeight="1" hidden="1">
      <c r="C70" s="325"/>
      <c r="D70" s="1024"/>
      <c r="E70" s="384" t="s">
        <v>643</v>
      </c>
      <c r="F70" s="288"/>
      <c r="G70" s="338"/>
      <c r="H70" s="339">
        <v>2.5</v>
      </c>
      <c r="I70" s="340">
        <f t="shared" si="28"/>
        <v>3.8000000000000003</v>
      </c>
      <c r="J70" s="341">
        <f>F69*I70</f>
        <v>11.552000000000001</v>
      </c>
      <c r="K70" s="342" t="s">
        <v>233</v>
      </c>
      <c r="L70" s="322">
        <f t="shared" si="29"/>
      </c>
      <c r="M70" s="288"/>
      <c r="N70" s="322">
        <f>IF(Q70="","",F496)</f>
      </c>
      <c r="Q70" s="334"/>
      <c r="S70" s="324" t="s">
        <v>240</v>
      </c>
      <c r="U70" s="343">
        <f t="shared" si="30"/>
      </c>
      <c r="V70" s="338"/>
      <c r="W70" s="344">
        <f t="shared" si="31"/>
      </c>
      <c r="X70" s="344">
        <f t="shared" si="32"/>
      </c>
      <c r="Y70" s="338"/>
      <c r="Z70" s="344">
        <f t="shared" si="33"/>
      </c>
      <c r="AA70" s="322">
        <f t="shared" si="34"/>
      </c>
      <c r="AE70" s="243">
        <f>IF(Q70="",0,Q70*2024)</f>
        <v>0</v>
      </c>
    </row>
    <row r="71" spans="3:31" ht="0" customHeight="1" hidden="1">
      <c r="C71" s="325"/>
      <c r="D71" s="1024"/>
      <c r="E71" s="384" t="s">
        <v>644</v>
      </c>
      <c r="F71" s="288"/>
      <c r="G71" s="338"/>
      <c r="H71" s="339">
        <v>3.5</v>
      </c>
      <c r="I71" s="340">
        <f t="shared" si="28"/>
        <v>5.279999999999999</v>
      </c>
      <c r="J71" s="341">
        <f>F69*I71</f>
        <v>16.051199999999998</v>
      </c>
      <c r="K71" s="342" t="s">
        <v>233</v>
      </c>
      <c r="L71" s="322">
        <f t="shared" si="29"/>
      </c>
      <c r="M71" s="288"/>
      <c r="N71" s="322">
        <f>IF(Q71="","",F497)</f>
      </c>
      <c r="Q71" s="334"/>
      <c r="S71" s="324" t="s">
        <v>240</v>
      </c>
      <c r="U71" s="343">
        <f t="shared" si="30"/>
      </c>
      <c r="V71" s="338"/>
      <c r="W71" s="344">
        <f t="shared" si="31"/>
      </c>
      <c r="X71" s="344">
        <f t="shared" si="32"/>
      </c>
      <c r="Y71" s="338"/>
      <c r="Z71" s="344">
        <f t="shared" si="33"/>
      </c>
      <c r="AA71" s="322">
        <f t="shared" si="34"/>
      </c>
      <c r="AE71" s="243">
        <f>IF(Q71="",0,Q71*2634)</f>
        <v>0</v>
      </c>
    </row>
    <row r="72" spans="3:31" ht="0" customHeight="1" hidden="1">
      <c r="C72" s="325"/>
      <c r="D72" s="1024"/>
      <c r="E72" s="384" t="s">
        <v>645</v>
      </c>
      <c r="F72" s="288"/>
      <c r="G72" s="338"/>
      <c r="H72" s="339">
        <v>4.5</v>
      </c>
      <c r="I72" s="340">
        <f t="shared" si="28"/>
        <v>6.76</v>
      </c>
      <c r="J72" s="341">
        <f>F69*I72</f>
        <v>20.5504</v>
      </c>
      <c r="K72" s="342" t="s">
        <v>233</v>
      </c>
      <c r="L72" s="322">
        <f t="shared" si="29"/>
      </c>
      <c r="M72" s="288"/>
      <c r="N72" s="322">
        <f>IF(Q72="","",F498)</f>
      </c>
      <c r="Q72" s="334"/>
      <c r="S72" s="324" t="s">
        <v>240</v>
      </c>
      <c r="U72" s="343">
        <f t="shared" si="30"/>
      </c>
      <c r="V72" s="338"/>
      <c r="W72" s="344">
        <f t="shared" si="31"/>
      </c>
      <c r="X72" s="344">
        <f t="shared" si="32"/>
      </c>
      <c r="Y72" s="338"/>
      <c r="Z72" s="344">
        <f t="shared" si="33"/>
      </c>
      <c r="AA72" s="322">
        <f t="shared" si="34"/>
      </c>
      <c r="AE72" s="243">
        <f>IF(Q72="",0,Q72*312)</f>
        <v>0</v>
      </c>
    </row>
    <row r="73" spans="3:31" ht="0" customHeight="1" hidden="1">
      <c r="C73" s="325"/>
      <c r="D73" s="1024"/>
      <c r="E73" s="384" t="s">
        <v>646</v>
      </c>
      <c r="F73" s="288"/>
      <c r="G73" s="338"/>
      <c r="H73" s="339">
        <v>5.5</v>
      </c>
      <c r="I73" s="340">
        <f t="shared" si="28"/>
        <v>8.24</v>
      </c>
      <c r="J73" s="341">
        <f>F69*I73</f>
        <v>25.0496</v>
      </c>
      <c r="K73" s="342" t="s">
        <v>233</v>
      </c>
      <c r="L73" s="322">
        <f t="shared" si="29"/>
      </c>
      <c r="M73" s="288"/>
      <c r="N73" s="322">
        <f>IF(Q73="","",F499)</f>
      </c>
      <c r="Q73" s="334"/>
      <c r="S73" s="324" t="s">
        <v>240</v>
      </c>
      <c r="U73" s="343">
        <f t="shared" si="30"/>
      </c>
      <c r="V73" s="338"/>
      <c r="W73" s="344">
        <f t="shared" si="31"/>
      </c>
      <c r="X73" s="344">
        <f t="shared" si="32"/>
      </c>
      <c r="Y73" s="338"/>
      <c r="Z73" s="344">
        <f t="shared" si="33"/>
      </c>
      <c r="AA73" s="322">
        <f t="shared" si="34"/>
      </c>
      <c r="AE73" s="243">
        <f>IF(Q73="",0,Q73*4967)</f>
        <v>0</v>
      </c>
    </row>
    <row r="74" spans="3:31" ht="0" customHeight="1" hidden="1">
      <c r="C74" s="325"/>
      <c r="D74" s="1024"/>
      <c r="E74" s="384" t="s">
        <v>647</v>
      </c>
      <c r="F74" s="288"/>
      <c r="G74" s="338"/>
      <c r="H74" s="339">
        <v>6.5</v>
      </c>
      <c r="I74" s="340">
        <f t="shared" si="28"/>
        <v>9.719999999999999</v>
      </c>
      <c r="J74" s="341">
        <f>F69*I74</f>
        <v>29.548799999999996</v>
      </c>
      <c r="K74" s="342" t="s">
        <v>233</v>
      </c>
      <c r="L74" s="322">
        <f t="shared" si="29"/>
      </c>
      <c r="M74" s="288"/>
      <c r="N74" s="322">
        <f>IF(Q74="","",F500)</f>
      </c>
      <c r="Q74" s="334"/>
      <c r="S74" s="324" t="s">
        <v>240</v>
      </c>
      <c r="U74" s="343">
        <f t="shared" si="30"/>
      </c>
      <c r="V74" s="338"/>
      <c r="W74" s="344">
        <f t="shared" si="31"/>
      </c>
      <c r="X74" s="344">
        <f t="shared" si="32"/>
      </c>
      <c r="Y74" s="338"/>
      <c r="Z74" s="344">
        <f t="shared" si="33"/>
      </c>
      <c r="AA74" s="322">
        <f t="shared" si="34"/>
      </c>
      <c r="AE74" s="243">
        <f>IF(Q74="",0,Q74*5643)</f>
        <v>0</v>
      </c>
    </row>
    <row r="75" spans="3:31" ht="0" customHeight="1" hidden="1">
      <c r="C75" s="325"/>
      <c r="D75" s="1024"/>
      <c r="E75" s="384" t="s">
        <v>648</v>
      </c>
      <c r="F75" s="288"/>
      <c r="G75" s="338"/>
      <c r="H75" s="339">
        <v>7.5</v>
      </c>
      <c r="I75" s="340">
        <f t="shared" si="28"/>
        <v>11.2</v>
      </c>
      <c r="J75" s="341">
        <f>F69*I75</f>
        <v>34.047999999999995</v>
      </c>
      <c r="K75" s="342" t="s">
        <v>233</v>
      </c>
      <c r="L75" s="322">
        <f t="shared" si="29"/>
      </c>
      <c r="M75" s="288"/>
      <c r="N75" s="322">
        <f>IF(Q75="","",F501)</f>
      </c>
      <c r="Q75" s="334"/>
      <c r="S75" s="324" t="s">
        <v>240</v>
      </c>
      <c r="U75" s="343">
        <f t="shared" si="30"/>
      </c>
      <c r="V75" s="338"/>
      <c r="W75" s="344">
        <f t="shared" si="31"/>
      </c>
      <c r="X75" s="344">
        <f t="shared" si="32"/>
      </c>
      <c r="Y75" s="338"/>
      <c r="Z75" s="344">
        <f t="shared" si="33"/>
      </c>
      <c r="AA75" s="322">
        <f t="shared" si="34"/>
      </c>
      <c r="AE75" s="243">
        <f>IF(Q75="",0,Q75*6342)</f>
        <v>0</v>
      </c>
    </row>
    <row r="76" spans="3:31" ht="0" customHeight="1" hidden="1">
      <c r="C76" s="325"/>
      <c r="D76" s="1038" t="s">
        <v>568</v>
      </c>
      <c r="E76" s="384" t="s">
        <v>649</v>
      </c>
      <c r="F76" s="288"/>
      <c r="G76" s="338"/>
      <c r="H76" s="339">
        <v>8.5</v>
      </c>
      <c r="I76" s="340">
        <f t="shared" si="28"/>
        <v>12.68</v>
      </c>
      <c r="J76" s="341">
        <f>F69*I76</f>
        <v>38.5472</v>
      </c>
      <c r="K76" s="342" t="s">
        <v>233</v>
      </c>
      <c r="L76" s="322">
        <f t="shared" si="29"/>
      </c>
      <c r="M76" s="288"/>
      <c r="N76" s="322">
        <f>IF(Q76="","",F502)</f>
      </c>
      <c r="Q76" s="334"/>
      <c r="S76" s="324" t="s">
        <v>240</v>
      </c>
      <c r="U76" s="343">
        <f t="shared" si="30"/>
      </c>
      <c r="V76" s="338"/>
      <c r="W76" s="344">
        <f t="shared" si="31"/>
      </c>
      <c r="X76" s="344">
        <f t="shared" si="32"/>
      </c>
      <c r="Y76" s="338"/>
      <c r="Z76" s="344">
        <f t="shared" si="33"/>
      </c>
      <c r="AA76" s="322">
        <f t="shared" si="34"/>
      </c>
      <c r="AE76" s="243">
        <f>IF(Q76="",0,Q76*7064)</f>
        <v>0</v>
      </c>
    </row>
    <row r="77" spans="3:31" ht="0" customHeight="1" hidden="1">
      <c r="C77" s="325"/>
      <c r="D77" s="1039"/>
      <c r="E77" s="345" t="s">
        <v>650</v>
      </c>
      <c r="F77" s="346"/>
      <c r="G77" s="347"/>
      <c r="H77" s="348">
        <v>9.5</v>
      </c>
      <c r="I77" s="349">
        <f t="shared" si="28"/>
        <v>14.16</v>
      </c>
      <c r="J77" s="350">
        <f>F69*I77</f>
        <v>43.0464</v>
      </c>
      <c r="K77" s="351" t="s">
        <v>233</v>
      </c>
      <c r="L77" s="352">
        <f t="shared" si="29"/>
      </c>
      <c r="M77" s="346"/>
      <c r="N77" s="352">
        <f>IF(Q77="","",F502)</f>
      </c>
      <c r="O77" s="353"/>
      <c r="P77" s="372"/>
      <c r="Q77" s="355"/>
      <c r="R77" s="356"/>
      <c r="S77" s="357" t="s">
        <v>240</v>
      </c>
      <c r="T77" s="353"/>
      <c r="U77" s="358">
        <f t="shared" si="30"/>
      </c>
      <c r="V77" s="347"/>
      <c r="W77" s="359">
        <f t="shared" si="31"/>
      </c>
      <c r="X77" s="359">
        <f t="shared" si="32"/>
      </c>
      <c r="Y77" s="347"/>
      <c r="Z77" s="359">
        <f t="shared" si="33"/>
      </c>
      <c r="AA77" s="352">
        <f t="shared" si="34"/>
      </c>
      <c r="AB77" s="360"/>
      <c r="AC77" s="353"/>
      <c r="AD77" s="353"/>
      <c r="AE77" s="361">
        <f>IF(Q77="",0,Q77*7807)</f>
        <v>0</v>
      </c>
    </row>
    <row r="78" spans="3:31" ht="19.5" customHeight="1">
      <c r="C78" s="385"/>
      <c r="E78" s="362" t="str">
        <f>E32</f>
        <v>Lapszerelt/szerkezetkész dominók   ˇ</v>
      </c>
      <c r="F78" s="363" t="s">
        <v>614</v>
      </c>
      <c r="G78" s="338"/>
      <c r="H78" s="288"/>
      <c r="I78" s="288"/>
      <c r="J78" s="288"/>
      <c r="K78" s="342"/>
      <c r="L78" s="322"/>
      <c r="M78" s="288"/>
      <c r="N78" s="322"/>
      <c r="Q78" s="323"/>
      <c r="S78" s="324"/>
      <c r="U78" s="343"/>
      <c r="V78" s="338"/>
      <c r="W78" s="344"/>
      <c r="X78" s="344"/>
      <c r="Y78" s="338"/>
      <c r="Z78" s="344"/>
      <c r="AA78" s="322"/>
      <c r="AE78" s="243">
        <f>SUM(AE69:AE77)</f>
        <v>0</v>
      </c>
    </row>
    <row r="79" spans="3:31" ht="12.75" customHeight="1">
      <c r="C79" s="1010"/>
      <c r="D79" s="1011" t="s">
        <v>96</v>
      </c>
      <c r="E79" s="364" t="s">
        <v>651</v>
      </c>
      <c r="F79" s="288">
        <v>3.04</v>
      </c>
      <c r="G79" s="338" t="s">
        <v>239</v>
      </c>
      <c r="H79" s="339">
        <v>1.5</v>
      </c>
      <c r="I79" s="340">
        <f aca="true" t="shared" si="35" ref="I79:I87">(H79*modul)+eresz</f>
        <v>2.32</v>
      </c>
      <c r="J79" s="341">
        <f>F79*I79</f>
        <v>7.0527999999999995</v>
      </c>
      <c r="K79" s="342" t="s">
        <v>233</v>
      </c>
      <c r="L79" s="322">
        <f aca="true" t="shared" si="36" ref="L79:L87">IF(Q79="","",N79*1/afa)</f>
      </c>
      <c r="M79" s="288"/>
      <c r="N79" s="322">
        <f>IF(Q79="","",L494)</f>
      </c>
      <c r="Q79" s="334"/>
      <c r="S79" s="324" t="s">
        <v>240</v>
      </c>
      <c r="U79" s="959">
        <f>IF(Q79="","",J79*Q79*0)</f>
      </c>
      <c r="V79" s="338" t="s">
        <v>233</v>
      </c>
      <c r="W79" s="344">
        <f aca="true" t="shared" si="37" ref="W79:W87">IF(X79="","",X79*1/afa)</f>
      </c>
      <c r="X79" s="344">
        <f aca="true" t="shared" si="38" ref="X79:X87">IF(Q79=0,"",ROUNDUP(AA79*euro,-3))</f>
      </c>
      <c r="Y79" s="338" t="s">
        <v>241</v>
      </c>
      <c r="Z79" s="344">
        <f aca="true" t="shared" si="39" ref="Z79:Z87">IF(Q79="","",L79*Q79)</f>
      </c>
      <c r="AA79" s="322">
        <f aca="true" t="shared" si="40" ref="AA79:AA87">IF(Q79="","",Z79*afa)</f>
      </c>
      <c r="AB79" s="242" t="s">
        <v>229</v>
      </c>
      <c r="AE79" s="243">
        <f>IF(Q79="",0,Q79*1444)*0.85*0</f>
        <v>0</v>
      </c>
    </row>
    <row r="80" spans="3:31" ht="12.75" customHeight="1">
      <c r="C80" s="1010"/>
      <c r="D80" s="1011"/>
      <c r="E80" s="364" t="s">
        <v>652</v>
      </c>
      <c r="F80" s="288"/>
      <c r="G80" s="338"/>
      <c r="H80" s="339">
        <v>2.5</v>
      </c>
      <c r="I80" s="340">
        <f t="shared" si="35"/>
        <v>3.8000000000000003</v>
      </c>
      <c r="J80" s="341">
        <f>F79*I80</f>
        <v>11.552000000000001</v>
      </c>
      <c r="K80" s="342" t="s">
        <v>233</v>
      </c>
      <c r="L80" s="322">
        <f t="shared" si="36"/>
      </c>
      <c r="M80" s="288"/>
      <c r="N80" s="322">
        <f>IF(Q80="","",L495)</f>
      </c>
      <c r="Q80" s="334"/>
      <c r="S80" s="324" t="s">
        <v>240</v>
      </c>
      <c r="U80" s="343">
        <f aca="true" t="shared" si="41" ref="U80:U87">IF(Q80="","",J80*Q80)</f>
      </c>
      <c r="V80" s="338"/>
      <c r="W80" s="344">
        <f t="shared" si="37"/>
      </c>
      <c r="X80" s="344">
        <f t="shared" si="38"/>
      </c>
      <c r="Y80" s="338"/>
      <c r="Z80" s="344">
        <f t="shared" si="39"/>
      </c>
      <c r="AA80" s="322">
        <f t="shared" si="40"/>
      </c>
      <c r="AE80" s="243">
        <f>IF(Q80="",0,Q80*2024)*0.85</f>
        <v>0</v>
      </c>
    </row>
    <row r="81" spans="3:31" ht="12.75" customHeight="1">
      <c r="C81" s="1010"/>
      <c r="D81" s="1011"/>
      <c r="E81" s="364" t="s">
        <v>653</v>
      </c>
      <c r="F81" s="288"/>
      <c r="G81" s="338"/>
      <c r="H81" s="339">
        <v>3.5</v>
      </c>
      <c r="I81" s="340">
        <f t="shared" si="35"/>
        <v>5.279999999999999</v>
      </c>
      <c r="J81" s="341">
        <f>F79*I81</f>
        <v>16.051199999999998</v>
      </c>
      <c r="K81" s="342" t="s">
        <v>233</v>
      </c>
      <c r="L81" s="322">
        <f t="shared" si="36"/>
      </c>
      <c r="M81" s="288"/>
      <c r="N81" s="322">
        <f>IF(Q81="","",L496)</f>
      </c>
      <c r="Q81" s="334"/>
      <c r="S81" s="324" t="s">
        <v>240</v>
      </c>
      <c r="U81" s="343">
        <f t="shared" si="41"/>
      </c>
      <c r="V81" s="338"/>
      <c r="W81" s="344">
        <f t="shared" si="37"/>
      </c>
      <c r="X81" s="344">
        <f t="shared" si="38"/>
      </c>
      <c r="Y81" s="338"/>
      <c r="Z81" s="344">
        <f t="shared" si="39"/>
      </c>
      <c r="AA81" s="322">
        <f t="shared" si="40"/>
      </c>
      <c r="AE81" s="243">
        <f>IF(Q81="",0,Q81*2634)*0.85</f>
        <v>0</v>
      </c>
    </row>
    <row r="82" spans="3:31" ht="12.75" customHeight="1">
      <c r="C82" s="1010"/>
      <c r="D82" s="1011"/>
      <c r="E82" s="364" t="s">
        <v>654</v>
      </c>
      <c r="F82" s="288"/>
      <c r="G82" s="338"/>
      <c r="H82" s="339">
        <v>4.5</v>
      </c>
      <c r="I82" s="340">
        <f t="shared" si="35"/>
        <v>6.76</v>
      </c>
      <c r="J82" s="341">
        <f>F79*I82</f>
        <v>20.5504</v>
      </c>
      <c r="K82" s="342" t="s">
        <v>233</v>
      </c>
      <c r="L82" s="322">
        <f t="shared" si="36"/>
      </c>
      <c r="M82" s="288"/>
      <c r="N82" s="322">
        <f>IF(Q82="","",L497)</f>
      </c>
      <c r="Q82" s="334"/>
      <c r="S82" s="324" t="s">
        <v>240</v>
      </c>
      <c r="U82" s="343">
        <f t="shared" si="41"/>
      </c>
      <c r="V82" s="338"/>
      <c r="W82" s="344">
        <f t="shared" si="37"/>
      </c>
      <c r="X82" s="344">
        <f t="shared" si="38"/>
      </c>
      <c r="Y82" s="338"/>
      <c r="Z82" s="344">
        <f t="shared" si="39"/>
      </c>
      <c r="AA82" s="322">
        <f t="shared" si="40"/>
      </c>
      <c r="AE82" s="243">
        <f>IF(Q82="",0,Q82*4312)*0.85</f>
        <v>0</v>
      </c>
    </row>
    <row r="83" spans="3:31" ht="12.75" customHeight="1">
      <c r="C83" s="1010"/>
      <c r="D83" s="1011"/>
      <c r="E83" s="364" t="s">
        <v>655</v>
      </c>
      <c r="F83" s="288"/>
      <c r="G83" s="338"/>
      <c r="H83" s="339">
        <v>5.5</v>
      </c>
      <c r="I83" s="340">
        <f t="shared" si="35"/>
        <v>8.24</v>
      </c>
      <c r="J83" s="341">
        <f>F79*I83</f>
        <v>25.0496</v>
      </c>
      <c r="K83" s="342" t="s">
        <v>233</v>
      </c>
      <c r="L83" s="322">
        <f t="shared" si="36"/>
      </c>
      <c r="M83" s="288"/>
      <c r="N83" s="322">
        <f>IF(Q83="","",L498)</f>
      </c>
      <c r="Q83" s="334"/>
      <c r="S83" s="324" t="s">
        <v>240</v>
      </c>
      <c r="U83" s="343">
        <f t="shared" si="41"/>
      </c>
      <c r="V83" s="338"/>
      <c r="W83" s="344">
        <f t="shared" si="37"/>
      </c>
      <c r="X83" s="344">
        <f t="shared" si="38"/>
      </c>
      <c r="Y83" s="338"/>
      <c r="Z83" s="344">
        <f t="shared" si="39"/>
      </c>
      <c r="AA83" s="322">
        <f t="shared" si="40"/>
      </c>
      <c r="AE83" s="243">
        <f>IF(Q83="",0,Q83*4967)*0.85</f>
        <v>0</v>
      </c>
    </row>
    <row r="84" spans="3:31" ht="12.75" customHeight="1">
      <c r="C84" s="1010"/>
      <c r="D84" s="1011"/>
      <c r="E84" s="364" t="s">
        <v>656</v>
      </c>
      <c r="F84" s="288"/>
      <c r="G84" s="338"/>
      <c r="H84" s="339">
        <v>6.5</v>
      </c>
      <c r="I84" s="340">
        <f t="shared" si="35"/>
        <v>9.719999999999999</v>
      </c>
      <c r="J84" s="341">
        <f>F79*I84</f>
        <v>29.548799999999996</v>
      </c>
      <c r="K84" s="342" t="s">
        <v>233</v>
      </c>
      <c r="L84" s="322">
        <f t="shared" si="36"/>
      </c>
      <c r="M84" s="288"/>
      <c r="N84" s="322">
        <f>IF(Q84="","",L499)</f>
      </c>
      <c r="Q84" s="334"/>
      <c r="S84" s="324" t="s">
        <v>240</v>
      </c>
      <c r="U84" s="343">
        <f t="shared" si="41"/>
      </c>
      <c r="V84" s="338"/>
      <c r="W84" s="344">
        <f t="shared" si="37"/>
      </c>
      <c r="X84" s="344">
        <f t="shared" si="38"/>
      </c>
      <c r="Y84" s="338"/>
      <c r="Z84" s="344">
        <f t="shared" si="39"/>
      </c>
      <c r="AA84" s="322">
        <f t="shared" si="40"/>
      </c>
      <c r="AE84" s="243">
        <f>IF(Q84="",0,Q84*5643)*0.85</f>
        <v>0</v>
      </c>
    </row>
    <row r="85" spans="3:31" ht="12.75" customHeight="1">
      <c r="C85" s="1010"/>
      <c r="D85" s="1011"/>
      <c r="E85" s="364" t="s">
        <v>657</v>
      </c>
      <c r="F85" s="288"/>
      <c r="G85" s="338"/>
      <c r="H85" s="339">
        <v>7.5</v>
      </c>
      <c r="I85" s="340">
        <f t="shared" si="35"/>
        <v>11.2</v>
      </c>
      <c r="J85" s="341">
        <f>F79*I85</f>
        <v>34.047999999999995</v>
      </c>
      <c r="K85" s="342" t="s">
        <v>233</v>
      </c>
      <c r="L85" s="322">
        <f t="shared" si="36"/>
      </c>
      <c r="M85" s="288"/>
      <c r="N85" s="322">
        <f>IF(Q85="","",L500)</f>
      </c>
      <c r="Q85" s="334"/>
      <c r="S85" s="324" t="s">
        <v>240</v>
      </c>
      <c r="U85" s="343">
        <f t="shared" si="41"/>
      </c>
      <c r="V85" s="338"/>
      <c r="W85" s="344">
        <f t="shared" si="37"/>
      </c>
      <c r="X85" s="344">
        <f t="shared" si="38"/>
      </c>
      <c r="Y85" s="338"/>
      <c r="Z85" s="344">
        <f t="shared" si="39"/>
      </c>
      <c r="AA85" s="322">
        <f t="shared" si="40"/>
      </c>
      <c r="AE85" s="243">
        <f>IF(Q85="",0,Q85*6342)*0.85</f>
        <v>0</v>
      </c>
    </row>
    <row r="86" spans="3:31" ht="12.75" customHeight="1">
      <c r="C86" s="1010"/>
      <c r="D86" s="1012">
        <f>D63</f>
        <v>0</v>
      </c>
      <c r="E86" s="364" t="s">
        <v>658</v>
      </c>
      <c r="F86" s="288"/>
      <c r="G86" s="338"/>
      <c r="H86" s="339">
        <v>8.5</v>
      </c>
      <c r="I86" s="340">
        <f t="shared" si="35"/>
        <v>12.68</v>
      </c>
      <c r="J86" s="341">
        <f>F79*I86</f>
        <v>38.5472</v>
      </c>
      <c r="K86" s="342" t="s">
        <v>233</v>
      </c>
      <c r="L86" s="322">
        <f t="shared" si="36"/>
      </c>
      <c r="M86" s="288"/>
      <c r="N86" s="322">
        <f>IF(Q86="","",L501)</f>
      </c>
      <c r="Q86" s="334"/>
      <c r="S86" s="324" t="s">
        <v>240</v>
      </c>
      <c r="U86" s="343">
        <f t="shared" si="41"/>
      </c>
      <c r="V86" s="338"/>
      <c r="W86" s="344">
        <f t="shared" si="37"/>
      </c>
      <c r="X86" s="344">
        <f t="shared" si="38"/>
      </c>
      <c r="Y86" s="338"/>
      <c r="Z86" s="344">
        <f t="shared" si="39"/>
      </c>
      <c r="AA86" s="322">
        <f t="shared" si="40"/>
      </c>
      <c r="AE86" s="243">
        <f>IF(Q86="",0,Q86*7064)*0.85</f>
        <v>0</v>
      </c>
    </row>
    <row r="87" spans="3:31" ht="12.75" customHeight="1">
      <c r="C87" s="1010"/>
      <c r="D87" s="1013"/>
      <c r="E87" s="345" t="s">
        <v>659</v>
      </c>
      <c r="F87" s="365"/>
      <c r="G87" s="366"/>
      <c r="H87" s="367">
        <v>9.5</v>
      </c>
      <c r="I87" s="368">
        <f t="shared" si="35"/>
        <v>14.16</v>
      </c>
      <c r="J87" s="369">
        <f>F79*I87</f>
        <v>43.0464</v>
      </c>
      <c r="K87" s="370" t="s">
        <v>233</v>
      </c>
      <c r="L87" s="371">
        <f t="shared" si="36"/>
      </c>
      <c r="M87" s="365"/>
      <c r="N87" s="322">
        <f>IF(Q87="","",L502)</f>
      </c>
      <c r="O87" s="353"/>
      <c r="P87" s="372"/>
      <c r="Q87" s="927"/>
      <c r="R87" s="356"/>
      <c r="S87" s="357" t="s">
        <v>240</v>
      </c>
      <c r="T87" s="353"/>
      <c r="U87" s="373">
        <f t="shared" si="41"/>
      </c>
      <c r="V87" s="366"/>
      <c r="W87" s="374">
        <f t="shared" si="37"/>
      </c>
      <c r="X87" s="374">
        <f t="shared" si="38"/>
      </c>
      <c r="Y87" s="366"/>
      <c r="Z87" s="374">
        <f t="shared" si="39"/>
      </c>
      <c r="AA87" s="371">
        <f t="shared" si="40"/>
      </c>
      <c r="AB87" s="360"/>
      <c r="AC87" s="353"/>
      <c r="AD87" s="353"/>
      <c r="AE87" s="361">
        <f>IF(Q87="",0,Q87*7807)*0.85</f>
        <v>0</v>
      </c>
    </row>
    <row r="88" spans="3:31" ht="19.5" customHeight="1">
      <c r="C88" s="375" t="s">
        <v>251</v>
      </c>
      <c r="D88" s="240" t="s">
        <v>97</v>
      </c>
      <c r="L88" s="1009" t="s">
        <v>711</v>
      </c>
      <c r="M88" s="1009"/>
      <c r="N88" s="376"/>
      <c r="Q88" s="323"/>
      <c r="S88" s="386">
        <f>SUM(Q69:Q87)</f>
        <v>0</v>
      </c>
      <c r="U88" s="245">
        <f>SUM(U69:U87)</f>
        <v>0</v>
      </c>
      <c r="W88" s="246">
        <f>SUM(W69:W87)</f>
        <v>0</v>
      </c>
      <c r="X88" s="246">
        <f>SUM(X69:X87)</f>
        <v>0</v>
      </c>
      <c r="Z88" s="246">
        <f>SUM(Z69:Z87)</f>
        <v>0</v>
      </c>
      <c r="AA88" s="243">
        <f>SUM(AA69:AA87)</f>
        <v>0</v>
      </c>
      <c r="AB88" s="242" t="s">
        <v>229</v>
      </c>
      <c r="AE88" s="243">
        <f>SUM(AE79:AE87)*0.85</f>
        <v>0</v>
      </c>
    </row>
    <row r="89" spans="3:32" ht="3.75" customHeight="1">
      <c r="C89" s="277"/>
      <c r="D89" s="278"/>
      <c r="E89" s="278" t="s">
        <v>521</v>
      </c>
      <c r="F89" s="278"/>
      <c r="G89" s="279"/>
      <c r="H89" s="278"/>
      <c r="I89" s="278"/>
      <c r="J89" s="278"/>
      <c r="K89" s="280"/>
      <c r="L89" s="281"/>
      <c r="M89" s="278"/>
      <c r="N89" s="281"/>
      <c r="O89" s="278"/>
      <c r="P89" s="282"/>
      <c r="Q89" s="283"/>
      <c r="R89" s="284"/>
      <c r="S89" s="285"/>
      <c r="T89" s="278"/>
      <c r="U89" s="286"/>
      <c r="V89" s="279"/>
      <c r="W89" s="287"/>
      <c r="X89" s="287"/>
      <c r="Y89" s="279"/>
      <c r="Z89" s="287"/>
      <c r="AA89" s="281"/>
      <c r="AB89" s="279"/>
      <c r="AC89" s="278"/>
      <c r="AD89" s="278"/>
      <c r="AE89" s="281"/>
      <c r="AF89" s="278"/>
    </row>
    <row r="90" spans="1:31" s="305" customFormat="1" ht="41.25" customHeight="1">
      <c r="A90" s="304"/>
      <c r="C90" s="377"/>
      <c r="E90" s="307" t="s">
        <v>98</v>
      </c>
      <c r="F90" s="308" t="s">
        <v>224</v>
      </c>
      <c r="G90" s="309"/>
      <c r="H90" s="309" t="s">
        <v>225</v>
      </c>
      <c r="I90" s="308" t="s">
        <v>226</v>
      </c>
      <c r="J90" s="310" t="s">
        <v>167</v>
      </c>
      <c r="K90" s="309"/>
      <c r="L90" s="311" t="s">
        <v>249</v>
      </c>
      <c r="M90" s="309"/>
      <c r="N90" s="387" t="s">
        <v>250</v>
      </c>
      <c r="O90" s="309"/>
      <c r="P90" s="313"/>
      <c r="Q90" s="379"/>
      <c r="R90" s="315" t="s">
        <v>165</v>
      </c>
      <c r="S90" s="315"/>
      <c r="T90" s="308"/>
      <c r="U90" s="317" t="s">
        <v>228</v>
      </c>
      <c r="V90" s="309" t="s">
        <v>233</v>
      </c>
      <c r="W90" s="318" t="s">
        <v>441</v>
      </c>
      <c r="X90" s="318" t="s">
        <v>441</v>
      </c>
      <c r="Y90" s="309"/>
      <c r="Z90" s="318" t="s">
        <v>166</v>
      </c>
      <c r="AA90" s="319" t="s">
        <v>166</v>
      </c>
      <c r="AB90" s="309" t="s">
        <v>229</v>
      </c>
      <c r="AC90" s="309"/>
      <c r="AD90" s="309"/>
      <c r="AE90" s="312" t="s">
        <v>230</v>
      </c>
    </row>
    <row r="91" spans="5:31" ht="12.75" customHeight="1">
      <c r="E91" s="320" t="s">
        <v>189</v>
      </c>
      <c r="I91" s="240" t="s">
        <v>231</v>
      </c>
      <c r="J91" s="240" t="s">
        <v>641</v>
      </c>
      <c r="N91" s="322"/>
      <c r="Q91" s="323"/>
      <c r="S91" s="324"/>
      <c r="U91" s="245" t="s">
        <v>233</v>
      </c>
      <c r="W91" s="246" t="s">
        <v>234</v>
      </c>
      <c r="X91" s="246" t="s">
        <v>235</v>
      </c>
      <c r="Z91" s="246" t="s">
        <v>236</v>
      </c>
      <c r="AA91" s="243" t="s">
        <v>237</v>
      </c>
      <c r="AE91" s="309" t="s">
        <v>238</v>
      </c>
    </row>
    <row r="92" spans="3:31" ht="0" customHeight="1" hidden="1">
      <c r="C92" s="325"/>
      <c r="D92" s="1023" t="s">
        <v>99</v>
      </c>
      <c r="E92" s="388" t="s">
        <v>660</v>
      </c>
      <c r="F92" s="327">
        <v>3.6</v>
      </c>
      <c r="G92" s="328" t="s">
        <v>239</v>
      </c>
      <c r="H92" s="329">
        <v>1.5</v>
      </c>
      <c r="I92" s="330">
        <f aca="true" t="shared" si="42" ref="I92:I100">(H92*modul)+eresz</f>
        <v>2.32</v>
      </c>
      <c r="J92" s="331">
        <f>F92*I92</f>
        <v>8.352</v>
      </c>
      <c r="K92" s="332" t="s">
        <v>233</v>
      </c>
      <c r="L92" s="333">
        <f aca="true" t="shared" si="43" ref="L92:L100">IF(Q92="","",N92*1/afa)</f>
      </c>
      <c r="M92" s="327"/>
      <c r="N92" s="322">
        <f>IF(Q92="","",R495)</f>
      </c>
      <c r="Q92" s="334"/>
      <c r="S92" s="324" t="s">
        <v>240</v>
      </c>
      <c r="U92" s="335">
        <f aca="true" t="shared" si="44" ref="U92:U100">IF(Q92="","",J92*Q92)</f>
      </c>
      <c r="V92" s="328" t="s">
        <v>233</v>
      </c>
      <c r="W92" s="336">
        <f aca="true" t="shared" si="45" ref="W92:W100">IF(X92="","",X92*1/afa)</f>
      </c>
      <c r="X92" s="336">
        <f aca="true" t="shared" si="46" ref="X92:X100">IF(Q92=0,"",ROUNDUP(AA92*euro,-3))</f>
      </c>
      <c r="Y92" s="328" t="s">
        <v>241</v>
      </c>
      <c r="Z92" s="336">
        <f aca="true" t="shared" si="47" ref="Z92:Z100">IF(Q92="","",L92*Q92)</f>
      </c>
      <c r="AA92" s="333">
        <f aca="true" t="shared" si="48" ref="AA92:AA100">IF(Q92="","",Z92*afa)</f>
      </c>
      <c r="AB92" s="242" t="s">
        <v>229</v>
      </c>
      <c r="AE92" s="243">
        <f>IF(Q92="",0,Q92*1544)</f>
        <v>0</v>
      </c>
    </row>
    <row r="93" spans="3:31" ht="0" customHeight="1" hidden="1">
      <c r="C93" s="325"/>
      <c r="D93" s="1024"/>
      <c r="E93" s="389" t="s">
        <v>661</v>
      </c>
      <c r="F93" s="288"/>
      <c r="G93" s="338"/>
      <c r="H93" s="339">
        <v>2.5</v>
      </c>
      <c r="I93" s="340">
        <f t="shared" si="42"/>
        <v>3.8000000000000003</v>
      </c>
      <c r="J93" s="341">
        <f>F92*I93</f>
        <v>13.680000000000001</v>
      </c>
      <c r="K93" s="342" t="s">
        <v>233</v>
      </c>
      <c r="L93" s="322">
        <f t="shared" si="43"/>
      </c>
      <c r="M93" s="288"/>
      <c r="N93" s="322">
        <f>IF(Q93="","",R496)</f>
      </c>
      <c r="Q93" s="334"/>
      <c r="S93" s="324" t="s">
        <v>240</v>
      </c>
      <c r="U93" s="343">
        <f t="shared" si="44"/>
      </c>
      <c r="V93" s="338"/>
      <c r="W93" s="344">
        <f t="shared" si="45"/>
      </c>
      <c r="X93" s="344">
        <f t="shared" si="46"/>
      </c>
      <c r="Y93" s="338"/>
      <c r="Z93" s="344">
        <f t="shared" si="47"/>
      </c>
      <c r="AA93" s="322">
        <f t="shared" si="48"/>
      </c>
      <c r="AE93" s="243">
        <f>IF(Q93="",0,Q93*2142)</f>
        <v>0</v>
      </c>
    </row>
    <row r="94" spans="3:31" ht="0" customHeight="1" hidden="1">
      <c r="C94" s="325"/>
      <c r="D94" s="1024"/>
      <c r="E94" s="389" t="s">
        <v>662</v>
      </c>
      <c r="F94" s="288"/>
      <c r="G94" s="338"/>
      <c r="H94" s="339">
        <v>3.5</v>
      </c>
      <c r="I94" s="340">
        <f t="shared" si="42"/>
        <v>5.279999999999999</v>
      </c>
      <c r="J94" s="341">
        <f>F92*I94</f>
        <v>19.008</v>
      </c>
      <c r="K94" s="342" t="s">
        <v>233</v>
      </c>
      <c r="L94" s="322">
        <f t="shared" si="43"/>
      </c>
      <c r="M94" s="288"/>
      <c r="N94" s="322">
        <f>IF(Q94="","",R497)</f>
      </c>
      <c r="Q94" s="334"/>
      <c r="S94" s="324" t="s">
        <v>240</v>
      </c>
      <c r="U94" s="343">
        <f t="shared" si="44"/>
      </c>
      <c r="V94" s="338"/>
      <c r="W94" s="344">
        <f t="shared" si="45"/>
      </c>
      <c r="X94" s="344">
        <f t="shared" si="46"/>
      </c>
      <c r="Y94" s="338"/>
      <c r="Z94" s="344">
        <f t="shared" si="47"/>
      </c>
      <c r="AA94" s="322">
        <f t="shared" si="48"/>
      </c>
      <c r="AE94" s="243">
        <f>IF(Q94="",0,Q94*2771)</f>
        <v>0</v>
      </c>
    </row>
    <row r="95" spans="3:31" ht="0" customHeight="1" hidden="1">
      <c r="C95" s="325"/>
      <c r="D95" s="1024"/>
      <c r="E95" s="389" t="s">
        <v>663</v>
      </c>
      <c r="F95" s="288"/>
      <c r="G95" s="338"/>
      <c r="H95" s="339">
        <v>4.5</v>
      </c>
      <c r="I95" s="340">
        <f t="shared" si="42"/>
        <v>6.76</v>
      </c>
      <c r="J95" s="341">
        <f>F92*I95</f>
        <v>24.336</v>
      </c>
      <c r="K95" s="342" t="s">
        <v>233</v>
      </c>
      <c r="L95" s="322">
        <f t="shared" si="43"/>
      </c>
      <c r="M95" s="288"/>
      <c r="N95" s="322">
        <f>IF(Q95="","",R498)</f>
      </c>
      <c r="Q95" s="334"/>
      <c r="S95" s="324" t="s">
        <v>240</v>
      </c>
      <c r="U95" s="343">
        <f t="shared" si="44"/>
      </c>
      <c r="V95" s="338"/>
      <c r="W95" s="344">
        <f t="shared" si="45"/>
      </c>
      <c r="X95" s="344">
        <f t="shared" si="46"/>
      </c>
      <c r="Y95" s="338"/>
      <c r="Z95" s="344">
        <f t="shared" si="47"/>
      </c>
      <c r="AA95" s="322">
        <f t="shared" si="48"/>
      </c>
      <c r="AE95" s="243">
        <f>IF(Q95="",0,Q95*4469)</f>
        <v>0</v>
      </c>
    </row>
    <row r="96" spans="3:31" ht="0" customHeight="1" hidden="1">
      <c r="C96" s="325"/>
      <c r="D96" s="1024"/>
      <c r="E96" s="389" t="s">
        <v>664</v>
      </c>
      <c r="F96" s="288"/>
      <c r="G96" s="338"/>
      <c r="H96" s="339">
        <v>5.5</v>
      </c>
      <c r="I96" s="340">
        <f t="shared" si="42"/>
        <v>8.24</v>
      </c>
      <c r="J96" s="341">
        <f>F92*I96</f>
        <v>29.664</v>
      </c>
      <c r="K96" s="342" t="s">
        <v>233</v>
      </c>
      <c r="L96" s="322">
        <f t="shared" si="43"/>
      </c>
      <c r="M96" s="288"/>
      <c r="N96" s="322">
        <f>IF(Q96="","",R499)</f>
      </c>
      <c r="Q96" s="334"/>
      <c r="S96" s="324" t="s">
        <v>240</v>
      </c>
      <c r="U96" s="343">
        <f t="shared" si="44"/>
      </c>
      <c r="V96" s="338"/>
      <c r="W96" s="344">
        <f t="shared" si="45"/>
      </c>
      <c r="X96" s="344">
        <f t="shared" si="46"/>
      </c>
      <c r="Y96" s="338"/>
      <c r="Z96" s="344">
        <f t="shared" si="47"/>
      </c>
      <c r="AA96" s="322">
        <f t="shared" si="48"/>
      </c>
      <c r="AE96" s="243">
        <f>IF(Q96="",0,Q96*5142)</f>
        <v>0</v>
      </c>
    </row>
    <row r="97" spans="3:31" ht="0" customHeight="1" hidden="1">
      <c r="C97" s="325"/>
      <c r="D97" s="1024"/>
      <c r="E97" s="389" t="s">
        <v>665</v>
      </c>
      <c r="F97" s="288"/>
      <c r="G97" s="338"/>
      <c r="H97" s="339">
        <v>6.5</v>
      </c>
      <c r="I97" s="340">
        <f t="shared" si="42"/>
        <v>9.719999999999999</v>
      </c>
      <c r="J97" s="341">
        <f>F92*I97</f>
        <v>34.992</v>
      </c>
      <c r="K97" s="342" t="s">
        <v>233</v>
      </c>
      <c r="L97" s="322">
        <f t="shared" si="43"/>
      </c>
      <c r="M97" s="288"/>
      <c r="N97" s="322">
        <f>IF(Q97="","",R500)</f>
      </c>
      <c r="Q97" s="334"/>
      <c r="S97" s="324" t="s">
        <v>240</v>
      </c>
      <c r="U97" s="343">
        <f t="shared" si="44"/>
      </c>
      <c r="V97" s="338"/>
      <c r="W97" s="344">
        <f t="shared" si="45"/>
      </c>
      <c r="X97" s="344">
        <f t="shared" si="46"/>
      </c>
      <c r="Y97" s="338"/>
      <c r="Z97" s="344">
        <f t="shared" si="47"/>
      </c>
      <c r="AA97" s="322">
        <f t="shared" si="48"/>
      </c>
      <c r="AE97" s="243">
        <f>IF(Q97="",0,Q97*5838)</f>
        <v>0</v>
      </c>
    </row>
    <row r="98" spans="3:31" ht="0" customHeight="1" hidden="1">
      <c r="C98" s="325"/>
      <c r="D98" s="1024"/>
      <c r="E98" s="389" t="s">
        <v>666</v>
      </c>
      <c r="F98" s="288"/>
      <c r="G98" s="338"/>
      <c r="H98" s="339">
        <v>7.5</v>
      </c>
      <c r="I98" s="340">
        <f t="shared" si="42"/>
        <v>11.2</v>
      </c>
      <c r="J98" s="341">
        <f>F92*I98</f>
        <v>40.32</v>
      </c>
      <c r="K98" s="342" t="s">
        <v>233</v>
      </c>
      <c r="L98" s="322">
        <f t="shared" si="43"/>
      </c>
      <c r="M98" s="288"/>
      <c r="N98" s="322">
        <f>IF(Q98="","",R501)</f>
      </c>
      <c r="Q98" s="334"/>
      <c r="S98" s="324" t="s">
        <v>240</v>
      </c>
      <c r="U98" s="343">
        <f t="shared" si="44"/>
      </c>
      <c r="V98" s="338"/>
      <c r="W98" s="344">
        <f t="shared" si="45"/>
      </c>
      <c r="X98" s="344">
        <f t="shared" si="46"/>
      </c>
      <c r="Y98" s="338"/>
      <c r="Z98" s="344">
        <f t="shared" si="47"/>
      </c>
      <c r="AA98" s="322">
        <f t="shared" si="48"/>
      </c>
      <c r="AE98" s="243">
        <f>IF(Q98="",0,Q98*6557)</f>
        <v>0</v>
      </c>
    </row>
    <row r="99" spans="3:31" ht="0" customHeight="1" hidden="1">
      <c r="C99" s="325"/>
      <c r="D99" s="1012" t="str">
        <f>D76</f>
        <v>csak         min 3db</v>
      </c>
      <c r="E99" s="389" t="s">
        <v>667</v>
      </c>
      <c r="F99" s="288"/>
      <c r="G99" s="338"/>
      <c r="H99" s="339">
        <v>8.5</v>
      </c>
      <c r="I99" s="340">
        <f t="shared" si="42"/>
        <v>12.68</v>
      </c>
      <c r="J99" s="341">
        <f>F92*I99</f>
        <v>45.648</v>
      </c>
      <c r="K99" s="342" t="s">
        <v>233</v>
      </c>
      <c r="L99" s="322">
        <f t="shared" si="43"/>
      </c>
      <c r="M99" s="288"/>
      <c r="N99" s="322">
        <f>IF(Q99="","",R502)</f>
      </c>
      <c r="Q99" s="334"/>
      <c r="S99" s="324" t="s">
        <v>240</v>
      </c>
      <c r="U99" s="343">
        <f t="shared" si="44"/>
      </c>
      <c r="V99" s="338"/>
      <c r="W99" s="344">
        <f t="shared" si="45"/>
      </c>
      <c r="X99" s="344">
        <f t="shared" si="46"/>
      </c>
      <c r="Y99" s="338"/>
      <c r="Z99" s="344">
        <f t="shared" si="47"/>
      </c>
      <c r="AA99" s="322">
        <f t="shared" si="48"/>
      </c>
      <c r="AE99" s="243">
        <f>IF(Q99="",0,Q99*7297)</f>
        <v>0</v>
      </c>
    </row>
    <row r="100" spans="3:31" ht="0" customHeight="1" hidden="1">
      <c r="C100" s="325"/>
      <c r="D100" s="1013"/>
      <c r="E100" s="345" t="s">
        <v>668</v>
      </c>
      <c r="F100" s="390"/>
      <c r="G100" s="391"/>
      <c r="H100" s="348">
        <v>9.5</v>
      </c>
      <c r="I100" s="349">
        <f t="shared" si="42"/>
        <v>14.16</v>
      </c>
      <c r="J100" s="350">
        <f>F92*I100</f>
        <v>50.976</v>
      </c>
      <c r="K100" s="392" t="s">
        <v>233</v>
      </c>
      <c r="L100" s="393">
        <f t="shared" si="43"/>
      </c>
      <c r="M100" s="390"/>
      <c r="N100" s="393">
        <f>IF(Q100="","",R502)</f>
      </c>
      <c r="O100" s="394"/>
      <c r="P100" s="395"/>
      <c r="Q100" s="396"/>
      <c r="R100" s="397"/>
      <c r="S100" s="398" t="s">
        <v>240</v>
      </c>
      <c r="T100" s="394"/>
      <c r="U100" s="399">
        <f t="shared" si="44"/>
      </c>
      <c r="V100" s="391"/>
      <c r="W100" s="400">
        <f t="shared" si="45"/>
      </c>
      <c r="X100" s="400">
        <f t="shared" si="46"/>
      </c>
      <c r="Y100" s="391"/>
      <c r="Z100" s="400">
        <f t="shared" si="47"/>
      </c>
      <c r="AA100" s="393">
        <f t="shared" si="48"/>
      </c>
      <c r="AB100" s="401"/>
      <c r="AC100" s="394"/>
      <c r="AD100" s="394"/>
      <c r="AE100" s="402">
        <f>IF(Q100="",0,Q100*8060)</f>
        <v>0</v>
      </c>
    </row>
    <row r="101" spans="5:31" ht="19.5" customHeight="1">
      <c r="E101" s="362" t="str">
        <f>E32</f>
        <v>Lapszerelt/szerkezetkész dominók   ˇ</v>
      </c>
      <c r="F101" s="363" t="s">
        <v>614</v>
      </c>
      <c r="G101" s="338"/>
      <c r="H101" s="288"/>
      <c r="I101" s="403"/>
      <c r="J101" s="288"/>
      <c r="K101" s="342"/>
      <c r="L101" s="322"/>
      <c r="M101" s="288"/>
      <c r="N101" s="322"/>
      <c r="Q101" s="323"/>
      <c r="S101" s="324"/>
      <c r="U101" s="343"/>
      <c r="V101" s="338"/>
      <c r="W101" s="344"/>
      <c r="X101" s="344"/>
      <c r="Y101" s="338"/>
      <c r="Z101" s="344"/>
      <c r="AA101" s="322"/>
      <c r="AE101" s="243">
        <f>SUM(AE92:AE100)</f>
        <v>0</v>
      </c>
    </row>
    <row r="102" spans="3:31" ht="12.75" customHeight="1">
      <c r="C102" s="1010"/>
      <c r="D102" s="1011" t="s">
        <v>100</v>
      </c>
      <c r="E102" s="364" t="s">
        <v>669</v>
      </c>
      <c r="F102" s="288">
        <f>3.64</f>
        <v>3.64</v>
      </c>
      <c r="G102" s="338" t="s">
        <v>239</v>
      </c>
      <c r="H102" s="339">
        <v>1.5</v>
      </c>
      <c r="I102" s="340">
        <f aca="true" t="shared" si="49" ref="I102:I110">(H102*modul)+eresz</f>
        <v>2.32</v>
      </c>
      <c r="J102" s="341">
        <f>F102*I102</f>
        <v>8.444799999999999</v>
      </c>
      <c r="K102" s="342" t="s">
        <v>233</v>
      </c>
      <c r="L102" s="322">
        <f aca="true" t="shared" si="50" ref="L102:L110">IF(Q102="","",N102*1/afa)</f>
      </c>
      <c r="M102" s="288"/>
      <c r="N102" s="322">
        <f>IF(Q102="","",X494)</f>
      </c>
      <c r="Q102" s="334"/>
      <c r="S102" s="324" t="s">
        <v>240</v>
      </c>
      <c r="U102" s="959">
        <f>IF(Q102="","",J102*Q102*0)</f>
      </c>
      <c r="V102" s="338" t="s">
        <v>233</v>
      </c>
      <c r="W102" s="344">
        <f aca="true" t="shared" si="51" ref="W102:W110">IF(X102="","",X102*1/afa)</f>
      </c>
      <c r="X102" s="344">
        <f aca="true" t="shared" si="52" ref="X102:X110">IF(Q102=0,"",ROUNDUP(AA102*euro,-3))</f>
      </c>
      <c r="Y102" s="338" t="s">
        <v>241</v>
      </c>
      <c r="Z102" s="344">
        <f aca="true" t="shared" si="53" ref="Z102:Z110">IF(Q102="","",L102*Q102)</f>
      </c>
      <c r="AA102" s="322">
        <f aca="true" t="shared" si="54" ref="AA102:AA110">IF(Q102="","",Z102*afa)</f>
      </c>
      <c r="AB102" s="242" t="s">
        <v>229</v>
      </c>
      <c r="AE102" s="243">
        <f>IF(Q102="",0,Q102*1544)*0.85*0</f>
        <v>0</v>
      </c>
    </row>
    <row r="103" spans="3:31" ht="12.75" customHeight="1">
      <c r="C103" s="1010"/>
      <c r="D103" s="1011"/>
      <c r="E103" s="364" t="s">
        <v>670</v>
      </c>
      <c r="F103" s="288"/>
      <c r="G103" s="338"/>
      <c r="H103" s="339">
        <v>2.5</v>
      </c>
      <c r="I103" s="340">
        <f t="shared" si="49"/>
        <v>3.8000000000000003</v>
      </c>
      <c r="J103" s="341">
        <f>F102*I103</f>
        <v>13.832</v>
      </c>
      <c r="K103" s="342" t="s">
        <v>233</v>
      </c>
      <c r="L103" s="322">
        <f t="shared" si="50"/>
      </c>
      <c r="M103" s="288"/>
      <c r="N103" s="322">
        <f>IF(Q103="","",X495)</f>
      </c>
      <c r="Q103" s="334"/>
      <c r="S103" s="324" t="s">
        <v>240</v>
      </c>
      <c r="U103" s="343">
        <f aca="true" t="shared" si="55" ref="U103:U110">IF(Q103="","",J103*Q103)</f>
      </c>
      <c r="V103" s="338"/>
      <c r="W103" s="344">
        <f t="shared" si="51"/>
      </c>
      <c r="X103" s="344">
        <f t="shared" si="52"/>
      </c>
      <c r="Y103" s="338"/>
      <c r="Z103" s="344">
        <f t="shared" si="53"/>
      </c>
      <c r="AA103" s="322">
        <f t="shared" si="54"/>
      </c>
      <c r="AE103" s="243">
        <f>IF(Q103="",0,Q103*2142)*0.85</f>
        <v>0</v>
      </c>
    </row>
    <row r="104" spans="3:31" ht="12.75" customHeight="1">
      <c r="C104" s="1010"/>
      <c r="D104" s="1011"/>
      <c r="E104" s="364" t="s">
        <v>671</v>
      </c>
      <c r="F104" s="288"/>
      <c r="G104" s="338"/>
      <c r="H104" s="339">
        <v>3.5</v>
      </c>
      <c r="I104" s="340">
        <f t="shared" si="49"/>
        <v>5.279999999999999</v>
      </c>
      <c r="J104" s="341">
        <f>F102*I104</f>
        <v>19.219199999999997</v>
      </c>
      <c r="K104" s="342" t="s">
        <v>233</v>
      </c>
      <c r="L104" s="322">
        <f t="shared" si="50"/>
      </c>
      <c r="M104" s="288"/>
      <c r="N104" s="322">
        <f>IF(Q104="","",X496)</f>
      </c>
      <c r="Q104" s="334"/>
      <c r="S104" s="324" t="s">
        <v>240</v>
      </c>
      <c r="U104" s="343">
        <f t="shared" si="55"/>
      </c>
      <c r="V104" s="338"/>
      <c r="W104" s="344">
        <f t="shared" si="51"/>
      </c>
      <c r="X104" s="344">
        <f t="shared" si="52"/>
      </c>
      <c r="Y104" s="338"/>
      <c r="Z104" s="344">
        <f t="shared" si="53"/>
      </c>
      <c r="AA104" s="322">
        <f t="shared" si="54"/>
      </c>
      <c r="AE104" s="243">
        <f>IF(Q104="",0,Q104*2771)*0.85</f>
        <v>0</v>
      </c>
    </row>
    <row r="105" spans="3:31" ht="12.75" customHeight="1">
      <c r="C105" s="1010"/>
      <c r="D105" s="1011"/>
      <c r="E105" s="364" t="s">
        <v>672</v>
      </c>
      <c r="F105" s="288"/>
      <c r="G105" s="338"/>
      <c r="H105" s="339">
        <v>4.5</v>
      </c>
      <c r="I105" s="340">
        <f t="shared" si="49"/>
        <v>6.76</v>
      </c>
      <c r="J105" s="341">
        <f>F102*I105</f>
        <v>24.6064</v>
      </c>
      <c r="K105" s="342" t="s">
        <v>233</v>
      </c>
      <c r="L105" s="322">
        <f t="shared" si="50"/>
      </c>
      <c r="M105" s="288"/>
      <c r="N105" s="322">
        <f>IF(Q105="","",X497)</f>
      </c>
      <c r="Q105" s="334"/>
      <c r="S105" s="324" t="s">
        <v>240</v>
      </c>
      <c r="U105" s="343">
        <f t="shared" si="55"/>
      </c>
      <c r="V105" s="338"/>
      <c r="W105" s="344">
        <f t="shared" si="51"/>
      </c>
      <c r="X105" s="344">
        <f t="shared" si="52"/>
      </c>
      <c r="Y105" s="338"/>
      <c r="Z105" s="344">
        <f t="shared" si="53"/>
      </c>
      <c r="AA105" s="322">
        <f t="shared" si="54"/>
      </c>
      <c r="AE105" s="243">
        <f>IF(Q105="",0,Q105*4469)*0.85</f>
        <v>0</v>
      </c>
    </row>
    <row r="106" spans="3:31" ht="12.75" customHeight="1">
      <c r="C106" s="1010"/>
      <c r="D106" s="1011"/>
      <c r="E106" s="364" t="s">
        <v>673</v>
      </c>
      <c r="F106" s="288"/>
      <c r="G106" s="338"/>
      <c r="H106" s="339">
        <v>5.5</v>
      </c>
      <c r="I106" s="340">
        <f t="shared" si="49"/>
        <v>8.24</v>
      </c>
      <c r="J106" s="341">
        <f>F102*I106</f>
        <v>29.9936</v>
      </c>
      <c r="K106" s="342" t="s">
        <v>233</v>
      </c>
      <c r="L106" s="322">
        <f t="shared" si="50"/>
      </c>
      <c r="M106" s="288"/>
      <c r="N106" s="322">
        <f>IF(Q106="","",X498)</f>
      </c>
      <c r="Q106" s="334"/>
      <c r="S106" s="324" t="s">
        <v>240</v>
      </c>
      <c r="U106" s="343">
        <f t="shared" si="55"/>
      </c>
      <c r="V106" s="338"/>
      <c r="W106" s="344">
        <f t="shared" si="51"/>
      </c>
      <c r="X106" s="344">
        <f t="shared" si="52"/>
      </c>
      <c r="Y106" s="338"/>
      <c r="Z106" s="344">
        <f t="shared" si="53"/>
      </c>
      <c r="AA106" s="322">
        <f t="shared" si="54"/>
      </c>
      <c r="AE106" s="243">
        <f>IF(Q106="",0,Q106*5142)*0.85</f>
        <v>0</v>
      </c>
    </row>
    <row r="107" spans="3:31" ht="12.75" customHeight="1">
      <c r="C107" s="1010"/>
      <c r="D107" s="1011"/>
      <c r="E107" s="364" t="s">
        <v>674</v>
      </c>
      <c r="F107" s="288"/>
      <c r="G107" s="338"/>
      <c r="H107" s="339">
        <v>6.5</v>
      </c>
      <c r="I107" s="340">
        <f t="shared" si="49"/>
        <v>9.719999999999999</v>
      </c>
      <c r="J107" s="341">
        <f>F102*I107</f>
        <v>35.380799999999994</v>
      </c>
      <c r="K107" s="342" t="s">
        <v>233</v>
      </c>
      <c r="L107" s="322">
        <f t="shared" si="50"/>
      </c>
      <c r="M107" s="288"/>
      <c r="N107" s="322">
        <f>IF(Q107="","",X499)</f>
      </c>
      <c r="Q107" s="334"/>
      <c r="S107" s="324" t="s">
        <v>240</v>
      </c>
      <c r="U107" s="343">
        <f t="shared" si="55"/>
      </c>
      <c r="V107" s="338"/>
      <c r="W107" s="344">
        <f t="shared" si="51"/>
      </c>
      <c r="X107" s="344">
        <f t="shared" si="52"/>
      </c>
      <c r="Y107" s="338"/>
      <c r="Z107" s="344">
        <f t="shared" si="53"/>
      </c>
      <c r="AA107" s="322">
        <f t="shared" si="54"/>
      </c>
      <c r="AE107" s="243">
        <f>IF(Q107="",0,Q107*5838)*0.85</f>
        <v>0</v>
      </c>
    </row>
    <row r="108" spans="3:31" ht="12.75" customHeight="1">
      <c r="C108" s="1010"/>
      <c r="D108" s="1011"/>
      <c r="E108" s="364" t="s">
        <v>675</v>
      </c>
      <c r="F108" s="288"/>
      <c r="G108" s="338"/>
      <c r="H108" s="339">
        <v>7.5</v>
      </c>
      <c r="I108" s="340">
        <f t="shared" si="49"/>
        <v>11.2</v>
      </c>
      <c r="J108" s="341">
        <f>F102*I108</f>
        <v>40.768</v>
      </c>
      <c r="K108" s="342" t="s">
        <v>233</v>
      </c>
      <c r="L108" s="322">
        <f t="shared" si="50"/>
      </c>
      <c r="M108" s="288"/>
      <c r="N108" s="322">
        <f>IF(Q108="","",X500)</f>
      </c>
      <c r="Q108" s="334"/>
      <c r="S108" s="324" t="s">
        <v>240</v>
      </c>
      <c r="U108" s="343">
        <f t="shared" si="55"/>
      </c>
      <c r="V108" s="338"/>
      <c r="W108" s="344">
        <f t="shared" si="51"/>
      </c>
      <c r="X108" s="344">
        <f t="shared" si="52"/>
      </c>
      <c r="Y108" s="338"/>
      <c r="Z108" s="344">
        <f t="shared" si="53"/>
      </c>
      <c r="AA108" s="322">
        <f t="shared" si="54"/>
      </c>
      <c r="AE108" s="243">
        <f>IF(Q108="",0,Q108*6557)*0.85</f>
        <v>0</v>
      </c>
    </row>
    <row r="109" spans="3:31" ht="12.75" customHeight="1">
      <c r="C109" s="1010"/>
      <c r="D109" s="1012">
        <f>D86</f>
        <v>0</v>
      </c>
      <c r="E109" s="364" t="s">
        <v>676</v>
      </c>
      <c r="F109" s="288"/>
      <c r="G109" s="338"/>
      <c r="H109" s="339">
        <v>8.5</v>
      </c>
      <c r="I109" s="340">
        <f t="shared" si="49"/>
        <v>12.68</v>
      </c>
      <c r="J109" s="341">
        <f>F102*I109</f>
        <v>46.1552</v>
      </c>
      <c r="K109" s="342" t="s">
        <v>233</v>
      </c>
      <c r="L109" s="322">
        <f t="shared" si="50"/>
      </c>
      <c r="M109" s="288"/>
      <c r="N109" s="322">
        <f>IF(Q109="","",X501)</f>
      </c>
      <c r="Q109" s="334"/>
      <c r="S109" s="324" t="s">
        <v>240</v>
      </c>
      <c r="U109" s="343">
        <f t="shared" si="55"/>
      </c>
      <c r="V109" s="338"/>
      <c r="W109" s="344">
        <f t="shared" si="51"/>
      </c>
      <c r="X109" s="344">
        <f t="shared" si="52"/>
      </c>
      <c r="Y109" s="338"/>
      <c r="Z109" s="344">
        <f t="shared" si="53"/>
      </c>
      <c r="AA109" s="322">
        <f t="shared" si="54"/>
      </c>
      <c r="AE109" s="243">
        <f>IF(Q109="",0,Q109*7297)*0.85</f>
        <v>0</v>
      </c>
    </row>
    <row r="110" spans="3:31" ht="12.75" customHeight="1">
      <c r="C110" s="1010"/>
      <c r="D110" s="1013"/>
      <c r="E110" s="345" t="s">
        <v>726</v>
      </c>
      <c r="F110" s="365"/>
      <c r="G110" s="366"/>
      <c r="H110" s="367">
        <v>9.5</v>
      </c>
      <c r="I110" s="368">
        <f t="shared" si="49"/>
        <v>14.16</v>
      </c>
      <c r="J110" s="369">
        <f>F102*I110</f>
        <v>51.5424</v>
      </c>
      <c r="K110" s="370" t="s">
        <v>233</v>
      </c>
      <c r="L110" s="371">
        <f t="shared" si="50"/>
      </c>
      <c r="M110" s="365"/>
      <c r="N110" s="322">
        <f>IF(Q110="","",X502)</f>
      </c>
      <c r="O110" s="353"/>
      <c r="P110" s="372"/>
      <c r="Q110" s="927"/>
      <c r="R110" s="356"/>
      <c r="S110" s="357" t="s">
        <v>240</v>
      </c>
      <c r="T110" s="353"/>
      <c r="U110" s="373">
        <f t="shared" si="55"/>
      </c>
      <c r="V110" s="366"/>
      <c r="W110" s="374">
        <f t="shared" si="51"/>
      </c>
      <c r="X110" s="374">
        <f t="shared" si="52"/>
      </c>
      <c r="Y110" s="366"/>
      <c r="Z110" s="374">
        <f t="shared" si="53"/>
      </c>
      <c r="AA110" s="371">
        <f t="shared" si="54"/>
      </c>
      <c r="AB110" s="360"/>
      <c r="AC110" s="353"/>
      <c r="AD110" s="353"/>
      <c r="AE110" s="361">
        <f>IF(Q110="",0,Q110*8060)*0.85</f>
        <v>0</v>
      </c>
    </row>
    <row r="111" spans="1:31" ht="19.5" customHeight="1">
      <c r="A111" s="251"/>
      <c r="C111" s="375" t="s">
        <v>252</v>
      </c>
      <c r="D111" s="240" t="s">
        <v>101</v>
      </c>
      <c r="L111" s="1009" t="s">
        <v>711</v>
      </c>
      <c r="M111" s="1009"/>
      <c r="N111" s="376"/>
      <c r="Q111" s="323"/>
      <c r="S111" s="324">
        <f>SUM(Q92:Q110)</f>
        <v>0</v>
      </c>
      <c r="U111" s="245">
        <f>SUM(U92:U110)</f>
        <v>0</v>
      </c>
      <c r="W111" s="246">
        <f>SUM(W92:W110)</f>
        <v>0</v>
      </c>
      <c r="X111" s="246">
        <f>SUM(X92:X110)</f>
        <v>0</v>
      </c>
      <c r="Z111" s="246">
        <f>SUM(Z92:Z110)</f>
        <v>0</v>
      </c>
      <c r="AA111" s="243">
        <f>SUM(AA92:AA110)</f>
        <v>0</v>
      </c>
      <c r="AB111" s="242" t="s">
        <v>229</v>
      </c>
      <c r="AE111" s="243">
        <f>SUM(AE102:AE110)*0.85</f>
        <v>0</v>
      </c>
    </row>
    <row r="112" spans="3:32" ht="3.75" customHeight="1">
      <c r="C112" s="277"/>
      <c r="D112" s="278"/>
      <c r="E112" s="278"/>
      <c r="F112" s="278"/>
      <c r="G112" s="279"/>
      <c r="H112" s="278"/>
      <c r="I112" s="278"/>
      <c r="J112" s="278"/>
      <c r="K112" s="280"/>
      <c r="L112" s="281"/>
      <c r="M112" s="278"/>
      <c r="N112" s="281"/>
      <c r="O112" s="278"/>
      <c r="P112" s="282"/>
      <c r="Q112" s="283"/>
      <c r="R112" s="284"/>
      <c r="S112" s="285"/>
      <c r="T112" s="278"/>
      <c r="U112" s="286"/>
      <c r="V112" s="279"/>
      <c r="W112" s="287"/>
      <c r="X112" s="287"/>
      <c r="Y112" s="279"/>
      <c r="Z112" s="287"/>
      <c r="AA112" s="281"/>
      <c r="AB112" s="279"/>
      <c r="AC112" s="278"/>
      <c r="AD112" s="278"/>
      <c r="AE112" s="281"/>
      <c r="AF112" s="278"/>
    </row>
    <row r="113" spans="1:31" s="305" customFormat="1" ht="41.25" customHeight="1">
      <c r="A113" s="304"/>
      <c r="C113" s="377"/>
      <c r="E113" s="858" t="s">
        <v>710</v>
      </c>
      <c r="F113" s="308" t="s">
        <v>224</v>
      </c>
      <c r="G113" s="309"/>
      <c r="H113" s="309" t="s">
        <v>225</v>
      </c>
      <c r="I113" s="308" t="s">
        <v>226</v>
      </c>
      <c r="J113" s="310" t="s">
        <v>167</v>
      </c>
      <c r="K113" s="309"/>
      <c r="L113" s="311" t="s">
        <v>249</v>
      </c>
      <c r="M113" s="309"/>
      <c r="N113" s="387" t="s">
        <v>250</v>
      </c>
      <c r="O113" s="309"/>
      <c r="P113" s="313"/>
      <c r="Q113" s="379"/>
      <c r="R113" s="315" t="s">
        <v>165</v>
      </c>
      <c r="S113" s="315"/>
      <c r="T113" s="308"/>
      <c r="U113" s="317" t="s">
        <v>228</v>
      </c>
      <c r="V113" s="309" t="s">
        <v>233</v>
      </c>
      <c r="W113" s="318" t="s">
        <v>441</v>
      </c>
      <c r="X113" s="318" t="s">
        <v>441</v>
      </c>
      <c r="Y113" s="309"/>
      <c r="Z113" s="318" t="s">
        <v>166</v>
      </c>
      <c r="AA113" s="319" t="s">
        <v>166</v>
      </c>
      <c r="AB113" s="309" t="s">
        <v>229</v>
      </c>
      <c r="AC113" s="309"/>
      <c r="AD113" s="309"/>
      <c r="AE113" s="312" t="s">
        <v>230</v>
      </c>
    </row>
    <row r="114" spans="5:31" ht="12.75" customHeight="1">
      <c r="E114" s="320" t="s">
        <v>189</v>
      </c>
      <c r="I114" s="240" t="s">
        <v>231</v>
      </c>
      <c r="J114" s="240" t="s">
        <v>641</v>
      </c>
      <c r="N114" s="322"/>
      <c r="Q114" s="323"/>
      <c r="S114" s="324"/>
      <c r="U114" s="245" t="s">
        <v>233</v>
      </c>
      <c r="W114" s="246" t="s">
        <v>234</v>
      </c>
      <c r="X114" s="246" t="s">
        <v>235</v>
      </c>
      <c r="Z114" s="246" t="s">
        <v>236</v>
      </c>
      <c r="AA114" s="243" t="s">
        <v>237</v>
      </c>
      <c r="AE114" s="309" t="s">
        <v>238</v>
      </c>
    </row>
    <row r="115" spans="5:31" ht="19.5" customHeight="1">
      <c r="E115" s="362" t="str">
        <f>E32</f>
        <v>Lapszerelt/szerkezetkész dominók   ˇ</v>
      </c>
      <c r="F115" s="363" t="s">
        <v>614</v>
      </c>
      <c r="G115" s="338"/>
      <c r="H115" s="288"/>
      <c r="I115" s="403"/>
      <c r="J115" s="288"/>
      <c r="K115" s="342"/>
      <c r="L115" s="322"/>
      <c r="M115" s="288"/>
      <c r="N115" s="322"/>
      <c r="Q115" s="323"/>
      <c r="S115" s="324"/>
      <c r="U115" s="343"/>
      <c r="V115" s="338"/>
      <c r="W115" s="344"/>
      <c r="X115" s="344"/>
      <c r="Y115" s="338"/>
      <c r="Z115" s="344"/>
      <c r="AA115" s="322"/>
      <c r="AE115" s="243">
        <f>SUM(AE106:AE114)</f>
        <v>0</v>
      </c>
    </row>
    <row r="116" spans="3:31" ht="12.75" customHeight="1">
      <c r="C116" s="1010"/>
      <c r="D116" s="1011" t="s">
        <v>701</v>
      </c>
      <c r="E116" s="857" t="s">
        <v>702</v>
      </c>
      <c r="F116" s="288">
        <f>4.24</f>
        <v>4.24</v>
      </c>
      <c r="G116" s="338" t="s">
        <v>239</v>
      </c>
      <c r="H116" s="339">
        <v>1.5</v>
      </c>
      <c r="I116" s="340">
        <f aca="true" t="shared" si="56" ref="I116:I123">(H116*modul)+eresz</f>
        <v>2.32</v>
      </c>
      <c r="J116" s="341">
        <f>F116*I116</f>
        <v>9.8368</v>
      </c>
      <c r="K116" s="342" t="s">
        <v>233</v>
      </c>
      <c r="L116" s="322">
        <f aca="true" t="shared" si="57" ref="L116:L122">IF(Q116="","",N116*1/afa)</f>
      </c>
      <c r="M116" s="288"/>
      <c r="N116" s="322">
        <f>IF(Q116="","",X504*J116/J102)</f>
      </c>
      <c r="Q116" s="334"/>
      <c r="S116" s="324" t="s">
        <v>240</v>
      </c>
      <c r="U116" s="343">
        <f>IF(Q116="","",J116*Q116)</f>
      </c>
      <c r="V116" s="338" t="s">
        <v>233</v>
      </c>
      <c r="W116" s="344">
        <f aca="true" t="shared" si="58" ref="W116:W123">IF(X116="","",X116*1/afa)</f>
      </c>
      <c r="X116" s="344">
        <f aca="true" t="shared" si="59" ref="X116:X123">IF(Q116=0,"",ROUNDUP(AA116*euro,-3))</f>
      </c>
      <c r="Y116" s="338" t="s">
        <v>241</v>
      </c>
      <c r="Z116" s="344">
        <f aca="true" t="shared" si="60" ref="Z116:Z123">IF(Q116="","",L116*Q116)</f>
      </c>
      <c r="AA116" s="322">
        <f aca="true" t="shared" si="61" ref="AA116:AA123">IF(Q116="","",Z116*afa)</f>
      </c>
      <c r="AB116" s="242" t="s">
        <v>229</v>
      </c>
      <c r="AE116" s="243">
        <f>IF(Q116="",0,Q116*1544)*0.85</f>
        <v>0</v>
      </c>
    </row>
    <row r="117" spans="3:31" ht="12.75" customHeight="1">
      <c r="C117" s="1010"/>
      <c r="D117" s="1011"/>
      <c r="E117" s="857" t="s">
        <v>703</v>
      </c>
      <c r="F117" s="288"/>
      <c r="G117" s="338"/>
      <c r="H117" s="339">
        <v>2.5</v>
      </c>
      <c r="I117" s="340">
        <f t="shared" si="56"/>
        <v>3.8000000000000003</v>
      </c>
      <c r="J117" s="341">
        <f>F116*I117</f>
        <v>16.112000000000002</v>
      </c>
      <c r="K117" s="342" t="s">
        <v>233</v>
      </c>
      <c r="L117" s="322">
        <f t="shared" si="57"/>
      </c>
      <c r="M117" s="288"/>
      <c r="N117" s="322">
        <f>IF(Q117="","",X505*J117/J103)</f>
      </c>
      <c r="Q117" s="334"/>
      <c r="S117" s="324" t="s">
        <v>240</v>
      </c>
      <c r="U117" s="343">
        <f aca="true" t="shared" si="62" ref="U117:U123">IF(Q117="","",J117*Q117)</f>
      </c>
      <c r="V117" s="338"/>
      <c r="W117" s="344">
        <f t="shared" si="58"/>
      </c>
      <c r="X117" s="344">
        <f t="shared" si="59"/>
      </c>
      <c r="Y117" s="338"/>
      <c r="Z117" s="344">
        <f t="shared" si="60"/>
      </c>
      <c r="AA117" s="322">
        <f t="shared" si="61"/>
      </c>
      <c r="AE117" s="243">
        <f>IF(Q117="",0,Q117*2142)*0.85</f>
        <v>0</v>
      </c>
    </row>
    <row r="118" spans="3:31" ht="12.75" customHeight="1">
      <c r="C118" s="1010"/>
      <c r="D118" s="1011"/>
      <c r="E118" s="857" t="s">
        <v>704</v>
      </c>
      <c r="F118" s="288"/>
      <c r="G118" s="338"/>
      <c r="H118" s="339">
        <v>3.5</v>
      </c>
      <c r="I118" s="340">
        <f t="shared" si="56"/>
        <v>5.279999999999999</v>
      </c>
      <c r="J118" s="341">
        <f>F116*I118</f>
        <v>22.3872</v>
      </c>
      <c r="K118" s="342" t="s">
        <v>233</v>
      </c>
      <c r="L118" s="322">
        <f t="shared" si="57"/>
      </c>
      <c r="M118" s="288"/>
      <c r="N118" s="322">
        <f>IF(Q118="","",X506*J118/J104)</f>
      </c>
      <c r="Q118" s="334"/>
      <c r="S118" s="324" t="s">
        <v>240</v>
      </c>
      <c r="U118" s="343">
        <f t="shared" si="62"/>
      </c>
      <c r="V118" s="338"/>
      <c r="W118" s="344">
        <f t="shared" si="58"/>
      </c>
      <c r="X118" s="344">
        <f t="shared" si="59"/>
      </c>
      <c r="Y118" s="338"/>
      <c r="Z118" s="344">
        <f t="shared" si="60"/>
      </c>
      <c r="AA118" s="322">
        <f t="shared" si="61"/>
      </c>
      <c r="AE118" s="243">
        <f>IF(Q118="",0,Q118*2771)*0.85</f>
        <v>0</v>
      </c>
    </row>
    <row r="119" spans="3:31" ht="12.75" customHeight="1">
      <c r="C119" s="1010"/>
      <c r="D119" s="1011"/>
      <c r="E119" s="857" t="s">
        <v>705</v>
      </c>
      <c r="F119" s="288"/>
      <c r="G119" s="338"/>
      <c r="H119" s="339">
        <v>4.5</v>
      </c>
      <c r="I119" s="340">
        <f t="shared" si="56"/>
        <v>6.76</v>
      </c>
      <c r="J119" s="341">
        <f>F116*I119</f>
        <v>28.6624</v>
      </c>
      <c r="K119" s="342" t="s">
        <v>233</v>
      </c>
      <c r="L119" s="322">
        <f t="shared" si="57"/>
      </c>
      <c r="M119" s="288"/>
      <c r="N119" s="322">
        <f>IF(Q119="","",X507*J119/J105)</f>
      </c>
      <c r="Q119" s="334"/>
      <c r="S119" s="324" t="s">
        <v>240</v>
      </c>
      <c r="U119" s="343">
        <f t="shared" si="62"/>
      </c>
      <c r="V119" s="338"/>
      <c r="W119" s="344">
        <f t="shared" si="58"/>
      </c>
      <c r="X119" s="344">
        <f t="shared" si="59"/>
      </c>
      <c r="Y119" s="338"/>
      <c r="Z119" s="344">
        <f t="shared" si="60"/>
      </c>
      <c r="AA119" s="322">
        <f t="shared" si="61"/>
      </c>
      <c r="AE119" s="243">
        <f>IF(Q119="",0,Q119*4469)*0.85</f>
        <v>0</v>
      </c>
    </row>
    <row r="120" spans="3:31" ht="12.75" customHeight="1">
      <c r="C120" s="1010"/>
      <c r="D120" s="1011"/>
      <c r="E120" s="857" t="s">
        <v>706</v>
      </c>
      <c r="F120" s="288"/>
      <c r="G120" s="338"/>
      <c r="H120" s="339">
        <v>5.5</v>
      </c>
      <c r="I120" s="340">
        <f t="shared" si="56"/>
        <v>8.24</v>
      </c>
      <c r="J120" s="341">
        <f>F116*I120</f>
        <v>34.9376</v>
      </c>
      <c r="K120" s="342" t="s">
        <v>233</v>
      </c>
      <c r="L120" s="322">
        <f t="shared" si="57"/>
      </c>
      <c r="M120" s="288"/>
      <c r="N120" s="322">
        <f>IF(Q120="","",X508*J120/J106)</f>
      </c>
      <c r="Q120" s="334"/>
      <c r="S120" s="324" t="s">
        <v>240</v>
      </c>
      <c r="U120" s="343">
        <f t="shared" si="62"/>
      </c>
      <c r="V120" s="338"/>
      <c r="W120" s="344">
        <f t="shared" si="58"/>
      </c>
      <c r="X120" s="344">
        <f t="shared" si="59"/>
      </c>
      <c r="Y120" s="338"/>
      <c r="Z120" s="344">
        <f t="shared" si="60"/>
      </c>
      <c r="AA120" s="322">
        <f t="shared" si="61"/>
      </c>
      <c r="AE120" s="243">
        <f>IF(Q120="",0,Q120*5142)*0.85</f>
        <v>0</v>
      </c>
    </row>
    <row r="121" spans="3:31" ht="12.75" customHeight="1">
      <c r="C121" s="1010"/>
      <c r="D121" s="1011"/>
      <c r="E121" s="857" t="s">
        <v>707</v>
      </c>
      <c r="F121" s="288"/>
      <c r="G121" s="338"/>
      <c r="H121" s="339">
        <v>6.5</v>
      </c>
      <c r="I121" s="340">
        <f t="shared" si="56"/>
        <v>9.719999999999999</v>
      </c>
      <c r="J121" s="341">
        <f>F116*I121</f>
        <v>41.212799999999994</v>
      </c>
      <c r="K121" s="342" t="s">
        <v>233</v>
      </c>
      <c r="L121" s="322">
        <f t="shared" si="57"/>
      </c>
      <c r="M121" s="288"/>
      <c r="N121" s="322">
        <f>IF(Q121="","",X509*J121/J107)</f>
      </c>
      <c r="Q121" s="334"/>
      <c r="S121" s="324" t="s">
        <v>240</v>
      </c>
      <c r="U121" s="343">
        <f t="shared" si="62"/>
      </c>
      <c r="V121" s="338"/>
      <c r="W121" s="344">
        <f t="shared" si="58"/>
      </c>
      <c r="X121" s="344">
        <f t="shared" si="59"/>
      </c>
      <c r="Y121" s="338"/>
      <c r="Z121" s="344">
        <f t="shared" si="60"/>
      </c>
      <c r="AA121" s="322">
        <f t="shared" si="61"/>
      </c>
      <c r="AE121" s="243">
        <f>IF(Q121="",0,Q121*5838)*0.85</f>
        <v>0</v>
      </c>
    </row>
    <row r="122" spans="3:31" ht="12.75" customHeight="1">
      <c r="C122" s="1010"/>
      <c r="D122" s="1011"/>
      <c r="E122" s="857" t="s">
        <v>708</v>
      </c>
      <c r="F122" s="288"/>
      <c r="G122" s="338"/>
      <c r="H122" s="339">
        <v>7.5</v>
      </c>
      <c r="I122" s="340">
        <f t="shared" si="56"/>
        <v>11.2</v>
      </c>
      <c r="J122" s="341">
        <f>F116*I122</f>
        <v>47.488</v>
      </c>
      <c r="K122" s="342" t="s">
        <v>233</v>
      </c>
      <c r="L122" s="322">
        <f t="shared" si="57"/>
      </c>
      <c r="M122" s="288"/>
      <c r="N122" s="322">
        <f>IF(Q122="","",X510*J122/J108)</f>
      </c>
      <c r="Q122" s="334"/>
      <c r="S122" s="324" t="s">
        <v>240</v>
      </c>
      <c r="U122" s="343">
        <f t="shared" si="62"/>
      </c>
      <c r="V122" s="338"/>
      <c r="W122" s="344">
        <f t="shared" si="58"/>
      </c>
      <c r="X122" s="344">
        <f t="shared" si="59"/>
      </c>
      <c r="Y122" s="338"/>
      <c r="Z122" s="344">
        <f t="shared" si="60"/>
      </c>
      <c r="AA122" s="322">
        <f t="shared" si="61"/>
      </c>
      <c r="AE122" s="243">
        <f>IF(Q122="",0,Q122*6557)*0.85</f>
        <v>0</v>
      </c>
    </row>
    <row r="123" spans="3:31" ht="12.75" customHeight="1">
      <c r="C123" s="1010"/>
      <c r="D123" s="1012">
        <f>D101</f>
        <v>0</v>
      </c>
      <c r="E123" s="857" t="s">
        <v>709</v>
      </c>
      <c r="F123" s="288"/>
      <c r="G123" s="338"/>
      <c r="H123" s="339">
        <v>8.5</v>
      </c>
      <c r="I123" s="340">
        <f t="shared" si="56"/>
        <v>12.68</v>
      </c>
      <c r="J123" s="341">
        <f>F116*I123</f>
        <v>53.763200000000005</v>
      </c>
      <c r="K123" s="342" t="s">
        <v>233</v>
      </c>
      <c r="L123" s="322">
        <f>IF(Q123="","",N123*1/afa)</f>
      </c>
      <c r="M123" s="288"/>
      <c r="N123" s="322">
        <f>IF(Q123="","",X511*J123/J109)</f>
      </c>
      <c r="Q123" s="334"/>
      <c r="S123" s="324" t="s">
        <v>240</v>
      </c>
      <c r="U123" s="343">
        <f t="shared" si="62"/>
      </c>
      <c r="V123" s="338"/>
      <c r="W123" s="344">
        <f t="shared" si="58"/>
      </c>
      <c r="X123" s="344">
        <f t="shared" si="59"/>
      </c>
      <c r="Y123" s="338"/>
      <c r="Z123" s="344">
        <f t="shared" si="60"/>
      </c>
      <c r="AA123" s="322">
        <f t="shared" si="61"/>
      </c>
      <c r="AE123" s="243">
        <f>IF(Q123="",0,Q123*7297)*0.85</f>
        <v>0</v>
      </c>
    </row>
    <row r="124" spans="3:31" ht="12.75" customHeight="1">
      <c r="C124" s="1010"/>
      <c r="D124" s="1013"/>
      <c r="E124" s="345"/>
      <c r="F124" s="365"/>
      <c r="G124" s="366"/>
      <c r="H124" s="367"/>
      <c r="I124" s="368"/>
      <c r="J124" s="369"/>
      <c r="K124" s="370"/>
      <c r="L124" s="371"/>
      <c r="M124" s="365"/>
      <c r="N124" s="352"/>
      <c r="O124" s="353"/>
      <c r="P124" s="372"/>
      <c r="Q124" s="927"/>
      <c r="R124" s="356"/>
      <c r="S124" s="357"/>
      <c r="T124" s="353"/>
      <c r="U124" s="373"/>
      <c r="V124" s="366"/>
      <c r="W124" s="374"/>
      <c r="X124" s="374"/>
      <c r="Y124" s="366"/>
      <c r="Z124" s="374"/>
      <c r="AA124" s="371"/>
      <c r="AB124" s="360"/>
      <c r="AC124" s="353"/>
      <c r="AD124" s="353"/>
      <c r="AE124" s="361"/>
    </row>
    <row r="125" spans="1:31" ht="19.5" customHeight="1">
      <c r="A125" s="251"/>
      <c r="B125" s="251"/>
      <c r="C125" s="375" t="s">
        <v>252</v>
      </c>
      <c r="D125" s="240" t="s">
        <v>712</v>
      </c>
      <c r="L125" s="1009" t="s">
        <v>711</v>
      </c>
      <c r="M125" s="1009"/>
      <c r="N125" s="376"/>
      <c r="Q125" s="323"/>
      <c r="S125" s="324">
        <f>SUM(Q107:Q124)</f>
        <v>0</v>
      </c>
      <c r="U125" s="245">
        <f>SUM(U116:U124)</f>
        <v>0</v>
      </c>
      <c r="W125" s="246">
        <f>SUM(W115:W124)</f>
        <v>0</v>
      </c>
      <c r="X125" s="246">
        <f>SUM(X116:X124)</f>
        <v>0</v>
      </c>
      <c r="Z125" s="246">
        <f>SUM(Z116:Z124)</f>
        <v>0</v>
      </c>
      <c r="AA125" s="243">
        <f>SUM(AA116:AA124)</f>
        <v>0</v>
      </c>
      <c r="AB125" s="242" t="s">
        <v>229</v>
      </c>
      <c r="AE125" s="243">
        <f>SUM(AE116:AE124)*0.85</f>
        <v>0</v>
      </c>
    </row>
    <row r="126" spans="3:32" ht="19.5" customHeight="1">
      <c r="C126" s="277"/>
      <c r="D126" s="278"/>
      <c r="E126" s="278"/>
      <c r="F126" s="278"/>
      <c r="G126" s="279"/>
      <c r="H126" s="278"/>
      <c r="I126" s="278"/>
      <c r="J126" s="278"/>
      <c r="K126" s="280"/>
      <c r="L126" s="281"/>
      <c r="M126" s="278"/>
      <c r="N126" s="281"/>
      <c r="O126" s="278"/>
      <c r="P126" s="282"/>
      <c r="Q126" s="283"/>
      <c r="R126" s="284"/>
      <c r="S126" s="285"/>
      <c r="T126" s="278"/>
      <c r="U126" s="286"/>
      <c r="V126" s="279"/>
      <c r="W126" s="287"/>
      <c r="X126" s="287"/>
      <c r="Y126" s="279"/>
      <c r="Z126" s="287"/>
      <c r="AA126" s="281"/>
      <c r="AB126" s="279"/>
      <c r="AC126" s="278"/>
      <c r="AD126" s="278"/>
      <c r="AE126" s="281"/>
      <c r="AF126" s="278"/>
    </row>
    <row r="127" spans="5:31" ht="12.75" customHeight="1">
      <c r="E127" s="404"/>
      <c r="L127" s="1009" t="s">
        <v>711</v>
      </c>
      <c r="M127" s="1009"/>
      <c r="N127" s="376"/>
      <c r="Q127" s="405"/>
      <c r="S127" s="324"/>
      <c r="AA127" s="243" t="s">
        <v>153</v>
      </c>
      <c r="AE127" s="243">
        <f>AE32+AE42+AE55+AE65+AE78+AE88+AE101+AE111+AE125</f>
        <v>0</v>
      </c>
    </row>
    <row r="128" spans="1:31" s="305" customFormat="1" ht="41.25" customHeight="1">
      <c r="A128" s="304"/>
      <c r="C128" s="377" t="s">
        <v>518</v>
      </c>
      <c r="E128" s="307" t="s">
        <v>102</v>
      </c>
      <c r="F128" s="308" t="s">
        <v>224</v>
      </c>
      <c r="G128" s="309"/>
      <c r="H128" s="309" t="s">
        <v>225</v>
      </c>
      <c r="I128" s="308" t="s">
        <v>226</v>
      </c>
      <c r="J128" s="310" t="s">
        <v>167</v>
      </c>
      <c r="K128" s="309"/>
      <c r="L128" s="311" t="s">
        <v>249</v>
      </c>
      <c r="M128" s="309"/>
      <c r="N128" s="312" t="s">
        <v>250</v>
      </c>
      <c r="O128" s="309"/>
      <c r="P128" s="313"/>
      <c r="Q128" s="379"/>
      <c r="R128" s="315" t="s">
        <v>165</v>
      </c>
      <c r="S128" s="315"/>
      <c r="T128" s="308"/>
      <c r="U128" s="317" t="s">
        <v>228</v>
      </c>
      <c r="V128" s="309" t="s">
        <v>233</v>
      </c>
      <c r="W128" s="318" t="s">
        <v>441</v>
      </c>
      <c r="X128" s="318" t="s">
        <v>441</v>
      </c>
      <c r="Y128" s="309"/>
      <c r="Z128" s="318" t="s">
        <v>166</v>
      </c>
      <c r="AA128" s="319" t="s">
        <v>166</v>
      </c>
      <c r="AB128" s="309" t="s">
        <v>229</v>
      </c>
      <c r="AC128" s="309"/>
      <c r="AD128" s="309"/>
      <c r="AE128" s="312" t="s">
        <v>230</v>
      </c>
    </row>
    <row r="129" spans="9:31" ht="12.75" customHeight="1">
      <c r="I129" s="240" t="s">
        <v>231</v>
      </c>
      <c r="J129" s="240" t="s">
        <v>232</v>
      </c>
      <c r="Q129" s="405"/>
      <c r="S129" s="324"/>
      <c r="U129" s="245" t="s">
        <v>233</v>
      </c>
      <c r="W129" s="246" t="s">
        <v>234</v>
      </c>
      <c r="X129" s="246" t="s">
        <v>235</v>
      </c>
      <c r="Z129" s="246" t="s">
        <v>236</v>
      </c>
      <c r="AA129" s="243" t="s">
        <v>237</v>
      </c>
      <c r="AE129" s="309" t="s">
        <v>238</v>
      </c>
    </row>
    <row r="130" spans="3:19" ht="19.5" customHeight="1">
      <c r="C130" s="406" t="s">
        <v>170</v>
      </c>
      <c r="E130" s="407" t="s">
        <v>521</v>
      </c>
      <c r="F130" s="408" t="s">
        <v>677</v>
      </c>
      <c r="P130" s="409" t="s">
        <v>478</v>
      </c>
      <c r="Q130" s="410"/>
      <c r="S130" s="324"/>
    </row>
    <row r="131" spans="3:17" ht="12.75" customHeight="1">
      <c r="C131" s="1017" t="s">
        <v>500</v>
      </c>
      <c r="Q131" s="411"/>
    </row>
    <row r="132" spans="3:31" ht="12.75" customHeight="1">
      <c r="C132" s="1017"/>
      <c r="D132" s="1015" t="s">
        <v>678</v>
      </c>
      <c r="E132" s="412" t="s">
        <v>679</v>
      </c>
      <c r="F132" s="327">
        <f>modul/4</f>
        <v>0.37</v>
      </c>
      <c r="G132" s="338" t="s">
        <v>239</v>
      </c>
      <c r="H132" s="329">
        <v>1</v>
      </c>
      <c r="I132" s="327">
        <f>modul</f>
        <v>1.48</v>
      </c>
      <c r="J132" s="413">
        <f>F132*I132</f>
        <v>0.5476</v>
      </c>
      <c r="K132" s="332" t="s">
        <v>233</v>
      </c>
      <c r="L132" s="333">
        <f>IF(Q132="","",N132*1/afa)</f>
      </c>
      <c r="M132" s="327"/>
      <c r="N132" s="322">
        <f>IF(Q132="","",48)</f>
      </c>
      <c r="P132" s="414" t="e">
        <f>X132/U132/1000</f>
        <v>#VALUE!</v>
      </c>
      <c r="Q132" s="334"/>
      <c r="S132" s="324" t="s">
        <v>240</v>
      </c>
      <c r="U132" s="335">
        <f>IF(Q132="","",J132*Q132)</f>
      </c>
      <c r="V132" s="328" t="s">
        <v>233</v>
      </c>
      <c r="W132" s="336">
        <f>IF(X132="","",X132*1/afa)</f>
      </c>
      <c r="X132" s="336">
        <f>IF(Q132=0,"",ROUNDUP(AA132*euro,-3))</f>
      </c>
      <c r="Y132" s="328" t="s">
        <v>241</v>
      </c>
      <c r="Z132" s="336">
        <f>IF(Q132="","",L132*Q132)</f>
      </c>
      <c r="AA132" s="333">
        <f>IF(Q132="","",Z132*afa)</f>
      </c>
      <c r="AB132" s="242" t="s">
        <v>229</v>
      </c>
      <c r="AE132" s="243">
        <f>IF(Q132="",Q132*0,903)</f>
        <v>0</v>
      </c>
    </row>
    <row r="133" spans="3:27" ht="12.75" customHeight="1">
      <c r="C133" s="1017"/>
      <c r="D133" s="1015"/>
      <c r="E133" s="380"/>
      <c r="F133" s="415"/>
      <c r="G133" s="416"/>
      <c r="H133" s="417"/>
      <c r="I133" s="415"/>
      <c r="J133" s="418"/>
      <c r="K133" s="419"/>
      <c r="L133" s="420"/>
      <c r="M133" s="415"/>
      <c r="N133" s="322"/>
      <c r="P133" s="414"/>
      <c r="Q133" s="421"/>
      <c r="S133" s="324"/>
      <c r="U133" s="422"/>
      <c r="V133" s="416"/>
      <c r="W133" s="423"/>
      <c r="X133" s="423"/>
      <c r="Y133" s="416"/>
      <c r="Z133" s="423"/>
      <c r="AA133" s="420"/>
    </row>
    <row r="134" spans="3:31" ht="12.75" customHeight="1">
      <c r="C134" s="1017"/>
      <c r="D134" s="1015"/>
      <c r="E134" s="424" t="s">
        <v>103</v>
      </c>
      <c r="F134" s="415">
        <f>F132</f>
        <v>0.37</v>
      </c>
      <c r="G134" s="416"/>
      <c r="H134" s="417" t="s">
        <v>680</v>
      </c>
      <c r="I134" s="415">
        <v>0.3</v>
      </c>
      <c r="J134" s="418">
        <f>F134*I134</f>
        <v>0.111</v>
      </c>
      <c r="K134" s="419" t="s">
        <v>233</v>
      </c>
      <c r="L134" s="420">
        <f>IF(Q134="","",N134*1/afa)</f>
      </c>
      <c r="M134" s="415"/>
      <c r="N134" s="322">
        <f>IF(Q134="","",72)</f>
      </c>
      <c r="P134" s="414" t="e">
        <f>X134/U134/1000</f>
        <v>#VALUE!</v>
      </c>
      <c r="Q134" s="334"/>
      <c r="S134" s="324" t="s">
        <v>240</v>
      </c>
      <c r="U134" s="422">
        <f>IF(Q134="","",J134*Q134)</f>
      </c>
      <c r="V134" s="416"/>
      <c r="W134" s="423">
        <f>IF(X134="","",X134*1/afa)</f>
      </c>
      <c r="X134" s="423">
        <f>IF(Q134=0,"",ROUNDUP(AA134*euro,-3))</f>
      </c>
      <c r="Y134" s="416"/>
      <c r="Z134" s="423">
        <f>IF(Q134="","",L134*Q134)</f>
      </c>
      <c r="AA134" s="420">
        <f>IF(Q134="","",Z134*afa)</f>
      </c>
      <c r="AE134" s="243">
        <f>IF(Q134&lt;1,0,100)</f>
        <v>0</v>
      </c>
    </row>
    <row r="135" spans="3:31" ht="12.75" customHeight="1">
      <c r="C135" s="1017"/>
      <c r="D135" s="425"/>
      <c r="E135" s="320"/>
      <c r="F135" s="288"/>
      <c r="H135" s="339"/>
      <c r="I135" s="288"/>
      <c r="J135" s="426"/>
      <c r="K135" s="342"/>
      <c r="L135" s="322"/>
      <c r="M135" s="288"/>
      <c r="N135" s="322"/>
      <c r="P135" s="414"/>
      <c r="Q135" s="421"/>
      <c r="S135" s="324" t="s">
        <v>240</v>
      </c>
      <c r="U135" s="343">
        <f>IF(Q135="","",J135*Q135)</f>
      </c>
      <c r="V135" s="338"/>
      <c r="W135" s="344">
        <f>IF(X135="","",X135*1/afa)</f>
      </c>
      <c r="X135" s="344">
        <f>IF(Q135=0,"",ROUNDUP(AA135*euro,-3))</f>
      </c>
      <c r="Y135" s="338"/>
      <c r="Z135" s="344">
        <f>IF(Q135="","",L135*Q135)</f>
      </c>
      <c r="AA135" s="322">
        <f>IF(Q135="","",Z135*afa)</f>
      </c>
      <c r="AE135" s="243">
        <f>IF(Q135&lt;1,0,1677)</f>
        <v>0</v>
      </c>
    </row>
    <row r="136" spans="3:31" ht="12.75" customHeight="1">
      <c r="C136" s="1017"/>
      <c r="D136" s="425"/>
      <c r="E136" s="320"/>
      <c r="F136" s="288"/>
      <c r="G136" s="338"/>
      <c r="H136" s="339"/>
      <c r="I136" s="288"/>
      <c r="J136" s="426"/>
      <c r="K136" s="342"/>
      <c r="L136" s="322"/>
      <c r="M136" s="288"/>
      <c r="N136" s="322"/>
      <c r="P136" s="414"/>
      <c r="Q136" s="421"/>
      <c r="S136" s="324" t="s">
        <v>240</v>
      </c>
      <c r="U136" s="343">
        <f>IF(Q136="","",J136*Q136)</f>
      </c>
      <c r="V136" s="338"/>
      <c r="W136" s="344">
        <f>IF(X136="","",X136*1/afa)</f>
      </c>
      <c r="X136" s="344">
        <f>IF(Q136=0,"",ROUNDUP(AA136*euro,-3))</f>
      </c>
      <c r="Y136" s="338"/>
      <c r="Z136" s="344">
        <f>IF(Q136="","",L136*Q136)</f>
      </c>
      <c r="AA136" s="322">
        <f>IF(Q136="","",Z136*afa)</f>
      </c>
      <c r="AE136" s="243">
        <f>IF(Q136&lt;1,0,1871)</f>
        <v>0</v>
      </c>
    </row>
    <row r="137" spans="3:31" ht="12.75" customHeight="1">
      <c r="C137" s="1017"/>
      <c r="D137" s="425"/>
      <c r="E137" s="320"/>
      <c r="F137" s="408" t="s">
        <v>426</v>
      </c>
      <c r="G137" s="338"/>
      <c r="H137" s="339"/>
      <c r="I137" s="288"/>
      <c r="J137" s="426"/>
      <c r="K137" s="342"/>
      <c r="L137" s="322"/>
      <c r="M137" s="288"/>
      <c r="N137" s="322"/>
      <c r="P137" s="414"/>
      <c r="Q137" s="421"/>
      <c r="S137" s="324" t="s">
        <v>240</v>
      </c>
      <c r="U137" s="343">
        <f>IF(Q137="","",J137*Q137)</f>
      </c>
      <c r="V137" s="338"/>
      <c r="W137" s="344">
        <f>IF(X137="","",X137*1/afa)</f>
      </c>
      <c r="X137" s="344">
        <f>IF(Q137=0,"",ROUNDUP(AA137*euro,-3))</f>
      </c>
      <c r="Y137" s="338"/>
      <c r="Z137" s="344">
        <f>IF(Q137="","",L137*Q137)</f>
      </c>
      <c r="AA137" s="322">
        <f>IF(Q137="","",Z137*afa)</f>
      </c>
      <c r="AE137" s="243">
        <f>IF(Q137&lt;1,0,2065)</f>
        <v>0</v>
      </c>
    </row>
    <row r="138" spans="3:31" ht="12.75" customHeight="1">
      <c r="C138" s="1017"/>
      <c r="D138" s="1014" t="s">
        <v>681</v>
      </c>
      <c r="E138" s="427" t="s">
        <v>682</v>
      </c>
      <c r="F138" s="327">
        <f>1.3+2*0.12</f>
        <v>1.54</v>
      </c>
      <c r="G138" s="338" t="s">
        <v>239</v>
      </c>
      <c r="H138" s="329">
        <v>1</v>
      </c>
      <c r="I138" s="327">
        <f>modul</f>
        <v>1.48</v>
      </c>
      <c r="J138" s="413">
        <f>F138*I138</f>
        <v>2.2792</v>
      </c>
      <c r="K138" s="332" t="s">
        <v>233</v>
      </c>
      <c r="L138" s="333">
        <f>IF(Q138="","",N138*1/afa)</f>
      </c>
      <c r="M138" s="327"/>
      <c r="N138" s="322">
        <f>IF(Q138="","",442)</f>
      </c>
      <c r="P138" s="414" t="e">
        <f>X138/U138/1000</f>
        <v>#VALUE!</v>
      </c>
      <c r="Q138" s="334"/>
      <c r="S138" s="324" t="s">
        <v>240</v>
      </c>
      <c r="U138" s="335">
        <f>IF(Q138="","",J138*Q138)</f>
      </c>
      <c r="V138" s="328" t="s">
        <v>233</v>
      </c>
      <c r="W138" s="336">
        <f>IF(X138="","",X138*1/afa)</f>
      </c>
      <c r="X138" s="336">
        <f>IF(Q138=0,"",ROUNDUP(AA138*euro,-3))</f>
      </c>
      <c r="Y138" s="328" t="s">
        <v>241</v>
      </c>
      <c r="Z138" s="336">
        <f>IF(Q138="","",L138*Q138)</f>
      </c>
      <c r="AA138" s="333">
        <f>IF(Q138="","",Z138*afa)</f>
      </c>
      <c r="AB138" s="242" t="s">
        <v>229</v>
      </c>
      <c r="AE138" s="243">
        <f>IF(Q138="",Q138*0,903)</f>
        <v>0</v>
      </c>
    </row>
    <row r="139" spans="3:27" ht="12.75" customHeight="1">
      <c r="C139" s="1017"/>
      <c r="D139" s="1015"/>
      <c r="E139" s="380"/>
      <c r="F139" s="415"/>
      <c r="G139" s="416"/>
      <c r="H139" s="417"/>
      <c r="I139" s="415"/>
      <c r="J139" s="418"/>
      <c r="K139" s="419"/>
      <c r="L139" s="420"/>
      <c r="M139" s="415"/>
      <c r="N139" s="322"/>
      <c r="P139" s="414"/>
      <c r="Q139" s="421"/>
      <c r="S139" s="324"/>
      <c r="U139" s="422"/>
      <c r="V139" s="416"/>
      <c r="W139" s="423"/>
      <c r="X139" s="423"/>
      <c r="Y139" s="416"/>
      <c r="Z139" s="423"/>
      <c r="AA139" s="420"/>
    </row>
    <row r="140" spans="3:31" ht="12.75" customHeight="1">
      <c r="C140" s="1017"/>
      <c r="D140" s="1015"/>
      <c r="E140" s="424" t="s">
        <v>104</v>
      </c>
      <c r="F140" s="415">
        <f>F138</f>
        <v>1.54</v>
      </c>
      <c r="G140" s="416"/>
      <c r="H140" s="417" t="s">
        <v>552</v>
      </c>
      <c r="I140" s="415">
        <v>0.3</v>
      </c>
      <c r="J140" s="418">
        <f>F140*I140</f>
        <v>0.46199999999999997</v>
      </c>
      <c r="K140" s="419" t="s">
        <v>233</v>
      </c>
      <c r="L140" s="420">
        <f>IF(Q140="","",N140*1/afa)</f>
      </c>
      <c r="M140" s="415"/>
      <c r="N140" s="322">
        <f>IF(Q140="","",391)</f>
      </c>
      <c r="P140" s="414" t="e">
        <f>X140/U140/1000</f>
        <v>#VALUE!</v>
      </c>
      <c r="Q140" s="334"/>
      <c r="S140" s="324" t="s">
        <v>240</v>
      </c>
      <c r="U140" s="422">
        <f>IF(Q140="","",J140*Q140)</f>
      </c>
      <c r="V140" s="416"/>
      <c r="W140" s="423">
        <f>IF(X140="","",X140*1/afa)</f>
      </c>
      <c r="X140" s="423">
        <f>IF(Q140=0,"",ROUNDUP(AA140*euro,-3))</f>
      </c>
      <c r="Y140" s="416"/>
      <c r="Z140" s="423">
        <f>IF(Q140="","",L140*Q140)</f>
      </c>
      <c r="AA140" s="420">
        <f>IF(Q140="","",Z140*afa)</f>
      </c>
      <c r="AE140" s="243">
        <f>IF(Q140&lt;1,0,100)</f>
        <v>0</v>
      </c>
    </row>
    <row r="141" spans="3:31" ht="19.5" customHeight="1">
      <c r="C141" s="406" t="s">
        <v>170</v>
      </c>
      <c r="E141" s="240" t="s">
        <v>188</v>
      </c>
      <c r="F141" s="408" t="s">
        <v>683</v>
      </c>
      <c r="P141" s="409" t="s">
        <v>478</v>
      </c>
      <c r="Q141" s="410"/>
      <c r="S141" s="324"/>
      <c r="AE141" s="243">
        <f>SUM(AE132:AE139)</f>
        <v>0</v>
      </c>
    </row>
    <row r="142" spans="3:31" ht="12.75" customHeight="1">
      <c r="C142" s="1017" t="s">
        <v>499</v>
      </c>
      <c r="D142" s="1132" t="s">
        <v>105</v>
      </c>
      <c r="E142" s="427" t="s">
        <v>558</v>
      </c>
      <c r="F142" s="327">
        <f>2.2+2*0.12</f>
        <v>2.4400000000000004</v>
      </c>
      <c r="G142" s="328"/>
      <c r="H142" s="327">
        <v>1</v>
      </c>
      <c r="I142" s="327">
        <f>modul</f>
        <v>1.48</v>
      </c>
      <c r="J142" s="413">
        <f>F142*I142</f>
        <v>3.6112000000000006</v>
      </c>
      <c r="K142" s="332" t="s">
        <v>233</v>
      </c>
      <c r="L142" s="333">
        <f>IF(Q142="","",N142*1/afa)</f>
      </c>
      <c r="M142" s="327"/>
      <c r="N142" s="322">
        <f>IF(Q142="","",700)</f>
      </c>
      <c r="P142" s="414" t="e">
        <f>X142/U142/1000</f>
        <v>#VALUE!</v>
      </c>
      <c r="Q142" s="334"/>
      <c r="S142" s="324" t="s">
        <v>240</v>
      </c>
      <c r="U142" s="335">
        <f aca="true" t="shared" si="63" ref="U142:U149">IF(Q142="","",J142*Q142)</f>
      </c>
      <c r="V142" s="328" t="s">
        <v>233</v>
      </c>
      <c r="W142" s="336">
        <f aca="true" t="shared" si="64" ref="W142:W149">IF(X142="","",X142*1/afa)</f>
      </c>
      <c r="X142" s="336">
        <f aca="true" t="shared" si="65" ref="X142:X149">IF(Q142=0,"",ROUNDUP(AA142*euro,-3))</f>
      </c>
      <c r="Y142" s="328" t="s">
        <v>241</v>
      </c>
      <c r="Z142" s="336">
        <f aca="true" t="shared" si="66" ref="Z142:Z149">IF(Q142="","",L142*Q142)</f>
      </c>
      <c r="AA142" s="333">
        <f aca="true" t="shared" si="67" ref="AA142:AA149">IF(Q142="","",Z142*afa)</f>
      </c>
      <c r="AB142" s="242" t="s">
        <v>229</v>
      </c>
      <c r="AE142" s="243">
        <f>IF(Q142&lt;1,0,2383)</f>
        <v>0</v>
      </c>
    </row>
    <row r="143" spans="3:31" ht="0" customHeight="1" hidden="1">
      <c r="C143" s="1017"/>
      <c r="D143" s="1133"/>
      <c r="E143" s="320"/>
      <c r="F143" s="288"/>
      <c r="G143" s="338"/>
      <c r="H143" s="288"/>
      <c r="I143" s="288"/>
      <c r="J143" s="426"/>
      <c r="K143" s="342"/>
      <c r="L143" s="322"/>
      <c r="M143" s="288"/>
      <c r="N143" s="322"/>
      <c r="P143" s="414"/>
      <c r="Q143" s="334"/>
      <c r="S143" s="324" t="s">
        <v>240</v>
      </c>
      <c r="U143" s="343">
        <f t="shared" si="63"/>
      </c>
      <c r="V143" s="338"/>
      <c r="W143" s="344">
        <f t="shared" si="64"/>
      </c>
      <c r="X143" s="344">
        <f t="shared" si="65"/>
      </c>
      <c r="Y143" s="338"/>
      <c r="Z143" s="344">
        <f t="shared" si="66"/>
      </c>
      <c r="AA143" s="322">
        <f t="shared" si="67"/>
      </c>
      <c r="AE143" s="243">
        <f>IF(Q143&lt;1,0,2892)</f>
        <v>0</v>
      </c>
    </row>
    <row r="144" spans="3:31" ht="0" customHeight="1" hidden="1">
      <c r="C144" s="1017"/>
      <c r="D144" s="1133"/>
      <c r="E144" s="320"/>
      <c r="F144" s="288"/>
      <c r="G144" s="338"/>
      <c r="H144" s="288"/>
      <c r="I144" s="288"/>
      <c r="J144" s="426"/>
      <c r="K144" s="342"/>
      <c r="L144" s="322"/>
      <c r="M144" s="288"/>
      <c r="N144" s="322"/>
      <c r="P144" s="414"/>
      <c r="Q144" s="334"/>
      <c r="S144" s="324" t="s">
        <v>240</v>
      </c>
      <c r="U144" s="343">
        <f t="shared" si="63"/>
      </c>
      <c r="V144" s="338"/>
      <c r="W144" s="344">
        <f t="shared" si="64"/>
      </c>
      <c r="X144" s="344">
        <f t="shared" si="65"/>
      </c>
      <c r="Y144" s="338"/>
      <c r="Z144" s="344">
        <f t="shared" si="66"/>
      </c>
      <c r="AA144" s="322">
        <f t="shared" si="67"/>
      </c>
      <c r="AE144" s="243">
        <f>IF(Q144&lt;1,0,3404)</f>
        <v>0</v>
      </c>
    </row>
    <row r="145" spans="3:31" ht="0" customHeight="1" hidden="1">
      <c r="C145" s="1017"/>
      <c r="D145" s="1133"/>
      <c r="E145" s="320"/>
      <c r="F145" s="288"/>
      <c r="G145" s="338"/>
      <c r="H145" s="288"/>
      <c r="I145" s="288"/>
      <c r="J145" s="426"/>
      <c r="K145" s="342"/>
      <c r="L145" s="322"/>
      <c r="M145" s="288"/>
      <c r="N145" s="322"/>
      <c r="P145" s="414"/>
      <c r="Q145" s="334"/>
      <c r="S145" s="324" t="s">
        <v>240</v>
      </c>
      <c r="U145" s="343">
        <f t="shared" si="63"/>
      </c>
      <c r="V145" s="338"/>
      <c r="W145" s="344">
        <f t="shared" si="64"/>
      </c>
      <c r="X145" s="344">
        <f t="shared" si="65"/>
      </c>
      <c r="Y145" s="338"/>
      <c r="Z145" s="344">
        <f t="shared" si="66"/>
      </c>
      <c r="AA145" s="322">
        <f t="shared" si="67"/>
      </c>
      <c r="AE145" s="243">
        <f>IF(Q145&lt;1,0,3916)</f>
        <v>0</v>
      </c>
    </row>
    <row r="146" spans="3:31" ht="0" customHeight="1" hidden="1">
      <c r="C146" s="1017"/>
      <c r="D146" s="1133"/>
      <c r="E146" s="320"/>
      <c r="F146" s="288"/>
      <c r="G146" s="338"/>
      <c r="H146" s="288"/>
      <c r="I146" s="288"/>
      <c r="J146" s="426"/>
      <c r="K146" s="342"/>
      <c r="L146" s="322"/>
      <c r="M146" s="288"/>
      <c r="N146" s="322"/>
      <c r="P146" s="414"/>
      <c r="Q146" s="334"/>
      <c r="S146" s="324" t="s">
        <v>240</v>
      </c>
      <c r="U146" s="343">
        <f t="shared" si="63"/>
      </c>
      <c r="V146" s="338"/>
      <c r="W146" s="344">
        <f t="shared" si="64"/>
      </c>
      <c r="X146" s="344">
        <f t="shared" si="65"/>
      </c>
      <c r="Y146" s="338"/>
      <c r="Z146" s="344">
        <f t="shared" si="66"/>
      </c>
      <c r="AA146" s="322">
        <f t="shared" si="67"/>
      </c>
      <c r="AE146" s="243">
        <f>IF(Q146&lt;1,0,4399)</f>
        <v>0</v>
      </c>
    </row>
    <row r="147" spans="3:31" ht="0" customHeight="1" hidden="1">
      <c r="C147" s="1017"/>
      <c r="D147" s="1133"/>
      <c r="E147" s="320"/>
      <c r="F147" s="288"/>
      <c r="G147" s="338"/>
      <c r="H147" s="288"/>
      <c r="I147" s="288"/>
      <c r="J147" s="426"/>
      <c r="K147" s="342"/>
      <c r="L147" s="322"/>
      <c r="M147" s="288"/>
      <c r="N147" s="322"/>
      <c r="P147" s="414"/>
      <c r="Q147" s="334"/>
      <c r="S147" s="324" t="s">
        <v>240</v>
      </c>
      <c r="U147" s="343">
        <f t="shared" si="63"/>
      </c>
      <c r="V147" s="338"/>
      <c r="W147" s="344">
        <f t="shared" si="64"/>
      </c>
      <c r="X147" s="344">
        <f t="shared" si="65"/>
      </c>
      <c r="Y147" s="338"/>
      <c r="Z147" s="344">
        <f t="shared" si="66"/>
      </c>
      <c r="AA147" s="322">
        <f t="shared" si="67"/>
      </c>
      <c r="AE147" s="243">
        <f>IF(Q147&lt;1,0,4937)</f>
        <v>0</v>
      </c>
    </row>
    <row r="148" spans="3:31" ht="0" customHeight="1" hidden="1">
      <c r="C148" s="1017"/>
      <c r="D148" s="1133"/>
      <c r="E148" s="320"/>
      <c r="F148" s="288"/>
      <c r="G148" s="338"/>
      <c r="H148" s="288"/>
      <c r="I148" s="288"/>
      <c r="J148" s="426"/>
      <c r="K148" s="342"/>
      <c r="L148" s="322"/>
      <c r="M148" s="288"/>
      <c r="N148" s="322"/>
      <c r="P148" s="414"/>
      <c r="Q148" s="334"/>
      <c r="S148" s="324" t="s">
        <v>240</v>
      </c>
      <c r="U148" s="343">
        <f t="shared" si="63"/>
      </c>
      <c r="V148" s="338"/>
      <c r="W148" s="344">
        <f t="shared" si="64"/>
      </c>
      <c r="X148" s="344">
        <f t="shared" si="65"/>
      </c>
      <c r="Y148" s="338"/>
      <c r="Z148" s="344">
        <f t="shared" si="66"/>
      </c>
      <c r="AA148" s="322">
        <f t="shared" si="67"/>
      </c>
      <c r="AE148" s="243">
        <f>IF(Q148&lt;1,0,5449)</f>
        <v>0</v>
      </c>
    </row>
    <row r="149" spans="3:31" ht="0" customHeight="1" hidden="1">
      <c r="C149" s="1017"/>
      <c r="D149" s="1133"/>
      <c r="E149" s="320"/>
      <c r="F149" s="288"/>
      <c r="G149" s="338"/>
      <c r="H149" s="288"/>
      <c r="I149" s="288"/>
      <c r="J149" s="426"/>
      <c r="K149" s="342"/>
      <c r="L149" s="322"/>
      <c r="M149" s="288"/>
      <c r="N149" s="322"/>
      <c r="P149" s="414"/>
      <c r="Q149" s="334"/>
      <c r="S149" s="324" t="s">
        <v>240</v>
      </c>
      <c r="U149" s="343">
        <f t="shared" si="63"/>
      </c>
      <c r="V149" s="338"/>
      <c r="W149" s="344">
        <f t="shared" si="64"/>
      </c>
      <c r="X149" s="344">
        <f t="shared" si="65"/>
      </c>
      <c r="Y149" s="338"/>
      <c r="Z149" s="344">
        <f t="shared" si="66"/>
      </c>
      <c r="AA149" s="322">
        <f t="shared" si="67"/>
      </c>
      <c r="AE149" s="243">
        <f>IF(Q149&lt;1,0,5959)</f>
        <v>0</v>
      </c>
    </row>
    <row r="150" spans="3:27" ht="12.75" customHeight="1">
      <c r="C150" s="1017"/>
      <c r="D150" s="1133"/>
      <c r="E150" s="380"/>
      <c r="F150" s="415"/>
      <c r="G150" s="416"/>
      <c r="H150" s="415"/>
      <c r="I150" s="415"/>
      <c r="J150" s="418"/>
      <c r="K150" s="419"/>
      <c r="L150" s="420"/>
      <c r="M150" s="415"/>
      <c r="N150" s="322"/>
      <c r="P150" s="414"/>
      <c r="Q150" s="421"/>
      <c r="S150" s="324"/>
      <c r="U150" s="422"/>
      <c r="V150" s="416"/>
      <c r="W150" s="423"/>
      <c r="X150" s="423"/>
      <c r="Y150" s="416"/>
      <c r="Z150" s="423"/>
      <c r="AA150" s="420"/>
    </row>
    <row r="151" spans="3:31" ht="12.75" customHeight="1">
      <c r="C151" s="1017"/>
      <c r="D151" s="1133"/>
      <c r="E151" s="424" t="s">
        <v>106</v>
      </c>
      <c r="F151" s="415">
        <f>F142</f>
        <v>2.4400000000000004</v>
      </c>
      <c r="G151" s="416"/>
      <c r="H151" s="417" t="s">
        <v>553</v>
      </c>
      <c r="I151" s="415">
        <v>0.3</v>
      </c>
      <c r="J151" s="418">
        <f>F151*I151</f>
        <v>0.7320000000000001</v>
      </c>
      <c r="K151" s="419" t="s">
        <v>233</v>
      </c>
      <c r="L151" s="420">
        <f>IF(Q151="","",N151*1/afa)</f>
      </c>
      <c r="M151" s="415"/>
      <c r="N151" s="322">
        <f>IF(Q151="","",642)</f>
      </c>
      <c r="P151" s="414" t="e">
        <f>X151/U151/1000</f>
        <v>#VALUE!</v>
      </c>
      <c r="Q151" s="334"/>
      <c r="S151" s="324" t="s">
        <v>240</v>
      </c>
      <c r="U151" s="422">
        <f>IF(Q151="","",J151*Q151)</f>
      </c>
      <c r="V151" s="416"/>
      <c r="W151" s="423">
        <f>IF(X151="","",X151*1/afa)</f>
      </c>
      <c r="X151" s="423">
        <f>IF(Q151=0,"",ROUNDUP(AA151*euro,-3))</f>
      </c>
      <c r="Y151" s="416"/>
      <c r="Z151" s="423">
        <f>IF(Q151="","",L151*Q151)</f>
      </c>
      <c r="AA151" s="420">
        <f>IF(Q151="","",Z151*afa)</f>
      </c>
      <c r="AE151" s="243">
        <f>IF(Q151&lt;1,0,100)</f>
        <v>0</v>
      </c>
    </row>
    <row r="152" spans="3:31" ht="19.5" customHeight="1">
      <c r="C152" s="406" t="s">
        <v>170</v>
      </c>
      <c r="D152" s="428"/>
      <c r="E152" s="288" t="s">
        <v>188</v>
      </c>
      <c r="F152" s="408" t="s">
        <v>175</v>
      </c>
      <c r="P152" s="409" t="s">
        <v>478</v>
      </c>
      <c r="Q152" s="410"/>
      <c r="S152" s="324"/>
      <c r="AE152" s="243">
        <f>SUM(AE142:AE150)</f>
        <v>0</v>
      </c>
    </row>
    <row r="153" spans="3:31" ht="12.75" customHeight="1">
      <c r="C153" s="1017" t="s">
        <v>498</v>
      </c>
      <c r="D153" s="1137" t="s">
        <v>107</v>
      </c>
      <c r="E153" s="427" t="s">
        <v>559</v>
      </c>
      <c r="F153" s="327">
        <f>F142+0.3</f>
        <v>2.74</v>
      </c>
      <c r="G153" s="328"/>
      <c r="H153" s="327">
        <v>1</v>
      </c>
      <c r="I153" s="327">
        <f>modul</f>
        <v>1.48</v>
      </c>
      <c r="J153" s="413">
        <f>F153*I153</f>
        <v>4.0552</v>
      </c>
      <c r="K153" s="332" t="s">
        <v>233</v>
      </c>
      <c r="L153" s="333">
        <f>IF(Q153="","",N153*1/afa)</f>
      </c>
      <c r="M153" s="327"/>
      <c r="N153" s="322">
        <f>IF(Q153="","",820)</f>
      </c>
      <c r="P153" s="414" t="e">
        <f>X153/U153/1000</f>
        <v>#VALUE!</v>
      </c>
      <c r="Q153" s="334"/>
      <c r="S153" s="324" t="s">
        <v>240</v>
      </c>
      <c r="U153" s="335">
        <f>IF(Q153="","",J153*Q153)</f>
      </c>
      <c r="V153" s="328" t="s">
        <v>233</v>
      </c>
      <c r="W153" s="336">
        <f>IF(X153="","",X153*1/afa)</f>
      </c>
      <c r="X153" s="336">
        <f>IF(Q153=0,"",ROUNDUP(AA153*euro,-3))</f>
      </c>
      <c r="Y153" s="328" t="s">
        <v>241</v>
      </c>
      <c r="Z153" s="336">
        <f>IF(Q153="","",L153*Q153)</f>
      </c>
      <c r="AA153" s="333">
        <f>IF(Q153="","",Z153*afa)</f>
      </c>
      <c r="AB153" s="242" t="s">
        <v>229</v>
      </c>
      <c r="AE153" s="243">
        <f>IF(Q153&lt;1,0,2571)</f>
        <v>0</v>
      </c>
    </row>
    <row r="154" spans="3:27" ht="0" customHeight="1" hidden="1">
      <c r="C154" s="1017"/>
      <c r="D154" s="1138"/>
      <c r="E154" s="320"/>
      <c r="F154" s="288"/>
      <c r="G154" s="338"/>
      <c r="H154" s="288"/>
      <c r="I154" s="288"/>
      <c r="J154" s="426"/>
      <c r="K154" s="342"/>
      <c r="L154" s="322"/>
      <c r="M154" s="288"/>
      <c r="N154" s="322"/>
      <c r="Q154" s="334"/>
      <c r="S154" s="324"/>
      <c r="U154" s="343"/>
      <c r="V154" s="338"/>
      <c r="W154" s="344"/>
      <c r="X154" s="344"/>
      <c r="Y154" s="338"/>
      <c r="Z154" s="344"/>
      <c r="AA154" s="322"/>
    </row>
    <row r="155" spans="3:27" ht="0" customHeight="1" hidden="1">
      <c r="C155" s="1017"/>
      <c r="D155" s="1138"/>
      <c r="E155" s="320"/>
      <c r="F155" s="288"/>
      <c r="G155" s="338"/>
      <c r="H155" s="288"/>
      <c r="I155" s="288"/>
      <c r="J155" s="426"/>
      <c r="K155" s="342"/>
      <c r="L155" s="322"/>
      <c r="M155" s="288"/>
      <c r="N155" s="322"/>
      <c r="Q155" s="334"/>
      <c r="S155" s="324"/>
      <c r="U155" s="343"/>
      <c r="V155" s="338"/>
      <c r="W155" s="344"/>
      <c r="X155" s="344"/>
      <c r="Y155" s="338"/>
      <c r="Z155" s="344"/>
      <c r="AA155" s="322"/>
    </row>
    <row r="156" spans="3:27" ht="0" customHeight="1" hidden="1">
      <c r="C156" s="1017"/>
      <c r="D156" s="1138"/>
      <c r="E156" s="320"/>
      <c r="F156" s="288"/>
      <c r="G156" s="338"/>
      <c r="H156" s="288"/>
      <c r="I156" s="288"/>
      <c r="J156" s="426"/>
      <c r="K156" s="342"/>
      <c r="L156" s="322"/>
      <c r="M156" s="288"/>
      <c r="N156" s="322"/>
      <c r="Q156" s="334"/>
      <c r="S156" s="324"/>
      <c r="U156" s="343"/>
      <c r="V156" s="338"/>
      <c r="W156" s="344"/>
      <c r="X156" s="344"/>
      <c r="Y156" s="338"/>
      <c r="Z156" s="344"/>
      <c r="AA156" s="322"/>
    </row>
    <row r="157" spans="3:27" ht="0" customHeight="1" hidden="1">
      <c r="C157" s="1017"/>
      <c r="D157" s="1138"/>
      <c r="E157" s="320"/>
      <c r="F157" s="288"/>
      <c r="G157" s="338"/>
      <c r="H157" s="288"/>
      <c r="I157" s="288"/>
      <c r="J157" s="426"/>
      <c r="K157" s="342"/>
      <c r="L157" s="322"/>
      <c r="M157" s="288"/>
      <c r="N157" s="322"/>
      <c r="Q157" s="334"/>
      <c r="S157" s="324"/>
      <c r="U157" s="343"/>
      <c r="V157" s="338"/>
      <c r="W157" s="344"/>
      <c r="X157" s="344"/>
      <c r="Y157" s="338"/>
      <c r="Z157" s="344"/>
      <c r="AA157" s="322"/>
    </row>
    <row r="158" spans="3:27" ht="0" customHeight="1" hidden="1">
      <c r="C158" s="1017"/>
      <c r="D158" s="1138"/>
      <c r="E158" s="320"/>
      <c r="F158" s="288"/>
      <c r="G158" s="338"/>
      <c r="H158" s="288"/>
      <c r="I158" s="288"/>
      <c r="J158" s="426"/>
      <c r="K158" s="342"/>
      <c r="L158" s="322"/>
      <c r="M158" s="288"/>
      <c r="N158" s="322"/>
      <c r="Q158" s="334"/>
      <c r="S158" s="324"/>
      <c r="U158" s="343"/>
      <c r="V158" s="338"/>
      <c r="W158" s="344"/>
      <c r="X158" s="344"/>
      <c r="Y158" s="338"/>
      <c r="Z158" s="344"/>
      <c r="AA158" s="322"/>
    </row>
    <row r="159" spans="3:27" ht="0" customHeight="1" hidden="1">
      <c r="C159" s="1017"/>
      <c r="D159" s="1138"/>
      <c r="E159" s="320"/>
      <c r="F159" s="288"/>
      <c r="G159" s="338"/>
      <c r="H159" s="288"/>
      <c r="I159" s="288"/>
      <c r="J159" s="426"/>
      <c r="K159" s="342"/>
      <c r="L159" s="322"/>
      <c r="M159" s="288"/>
      <c r="N159" s="322"/>
      <c r="Q159" s="334"/>
      <c r="S159" s="324"/>
      <c r="U159" s="343"/>
      <c r="V159" s="338"/>
      <c r="W159" s="344"/>
      <c r="X159" s="344"/>
      <c r="Y159" s="338"/>
      <c r="Z159" s="344"/>
      <c r="AA159" s="322"/>
    </row>
    <row r="160" spans="3:27" ht="0" customHeight="1" hidden="1">
      <c r="C160" s="1017"/>
      <c r="D160" s="1138"/>
      <c r="E160" s="320"/>
      <c r="F160" s="288"/>
      <c r="G160" s="338"/>
      <c r="H160" s="288"/>
      <c r="I160" s="288"/>
      <c r="J160" s="426"/>
      <c r="K160" s="342"/>
      <c r="L160" s="322"/>
      <c r="M160" s="288"/>
      <c r="N160" s="322"/>
      <c r="Q160" s="334"/>
      <c r="S160" s="324"/>
      <c r="U160" s="343"/>
      <c r="V160" s="338"/>
      <c r="W160" s="344"/>
      <c r="X160" s="344"/>
      <c r="Y160" s="338"/>
      <c r="Z160" s="344"/>
      <c r="AA160" s="322"/>
    </row>
    <row r="161" spans="3:27" ht="12.75" customHeight="1">
      <c r="C161" s="1017"/>
      <c r="D161" s="1138"/>
      <c r="E161" s="380"/>
      <c r="F161" s="415"/>
      <c r="G161" s="416"/>
      <c r="H161" s="415"/>
      <c r="I161" s="415"/>
      <c r="J161" s="418"/>
      <c r="K161" s="419"/>
      <c r="L161" s="420"/>
      <c r="M161" s="415"/>
      <c r="N161" s="322"/>
      <c r="Q161" s="421"/>
      <c r="S161" s="324"/>
      <c r="U161" s="422"/>
      <c r="V161" s="416"/>
      <c r="W161" s="423"/>
      <c r="X161" s="423"/>
      <c r="Y161" s="416"/>
      <c r="Z161" s="423"/>
      <c r="AA161" s="420"/>
    </row>
    <row r="162" spans="3:31" ht="12.75" customHeight="1">
      <c r="C162" s="1017"/>
      <c r="D162" s="1138"/>
      <c r="E162" s="424" t="s">
        <v>106</v>
      </c>
      <c r="F162" s="415">
        <f>F153</f>
        <v>2.74</v>
      </c>
      <c r="G162" s="416"/>
      <c r="H162" s="417" t="s">
        <v>556</v>
      </c>
      <c r="I162" s="415">
        <v>0.3</v>
      </c>
      <c r="J162" s="418">
        <f>F162*I162</f>
        <v>0.8220000000000001</v>
      </c>
      <c r="K162" s="419" t="s">
        <v>233</v>
      </c>
      <c r="L162" s="420">
        <f>IF(Q162="","",N162*1/afa)</f>
      </c>
      <c r="M162" s="415"/>
      <c r="N162" s="322">
        <f>IF(Q162="","",753)</f>
      </c>
      <c r="P162" s="414" t="e">
        <f>X162/U162/1000</f>
        <v>#VALUE!</v>
      </c>
      <c r="Q162" s="334"/>
      <c r="S162" s="324" t="s">
        <v>240</v>
      </c>
      <c r="U162" s="422">
        <f>IF(Q162="","",J162*Q162)</f>
      </c>
      <c r="V162" s="416"/>
      <c r="W162" s="423">
        <f>IF(X162="","",X162*1/afa)</f>
      </c>
      <c r="X162" s="423">
        <f>IF(Q162=0,"",ROUNDUP(AA162*euro,-3))</f>
      </c>
      <c r="Y162" s="416"/>
      <c r="Z162" s="423">
        <f>IF(Q162="","",L162*Q162)</f>
      </c>
      <c r="AA162" s="420">
        <f>IF(Q162="","",Z162*afa)</f>
      </c>
      <c r="AE162" s="243">
        <f>IF(Q162&lt;1,0,100)</f>
        <v>0</v>
      </c>
    </row>
    <row r="163" spans="3:31" ht="19.5" customHeight="1">
      <c r="C163" s="406" t="s">
        <v>170</v>
      </c>
      <c r="D163" s="428"/>
      <c r="E163" s="288" t="s">
        <v>188</v>
      </c>
      <c r="F163" s="408" t="s">
        <v>684</v>
      </c>
      <c r="P163" s="409" t="s">
        <v>478</v>
      </c>
      <c r="Q163" s="410"/>
      <c r="S163" s="324"/>
      <c r="AE163" s="243">
        <f>SUM(AE153:AE161)</f>
        <v>0</v>
      </c>
    </row>
    <row r="164" spans="3:31" ht="12.75" customHeight="1">
      <c r="C164" s="1017" t="s">
        <v>497</v>
      </c>
      <c r="D164" s="1139" t="s">
        <v>108</v>
      </c>
      <c r="E164" s="427" t="s">
        <v>685</v>
      </c>
      <c r="F164" s="327">
        <f>F162+0.3</f>
        <v>3.04</v>
      </c>
      <c r="G164" s="328"/>
      <c r="H164" s="327">
        <v>1</v>
      </c>
      <c r="I164" s="327">
        <f>modul</f>
        <v>1.48</v>
      </c>
      <c r="J164" s="413">
        <f>F164*I164</f>
        <v>4.4992</v>
      </c>
      <c r="K164" s="332" t="s">
        <v>233</v>
      </c>
      <c r="L164" s="333">
        <f>IF(Q164="","",N164*1/afa)</f>
      </c>
      <c r="M164" s="327"/>
      <c r="N164" s="322">
        <f>IF(Q164="","",940)</f>
      </c>
      <c r="P164" s="414" t="e">
        <f>X164/U164/1000</f>
        <v>#VALUE!</v>
      </c>
      <c r="Q164" s="334"/>
      <c r="S164" s="324" t="s">
        <v>240</v>
      </c>
      <c r="U164" s="335">
        <f>IF(Q164="","",J164*Q164)</f>
      </c>
      <c r="V164" s="328" t="s">
        <v>233</v>
      </c>
      <c r="W164" s="336">
        <f>IF(X164="","",X164*1/afa)</f>
      </c>
      <c r="X164" s="336">
        <f>IF(Q164=0,"",ROUNDUP(AA164*euro,-3))</f>
      </c>
      <c r="Y164" s="328" t="s">
        <v>241</v>
      </c>
      <c r="Z164" s="336">
        <f>IF(Q164="","",L164*Q164)</f>
      </c>
      <c r="AA164" s="333">
        <f>IF(Q164="","",Z164*afa)</f>
      </c>
      <c r="AB164" s="242" t="s">
        <v>229</v>
      </c>
      <c r="AE164" s="243">
        <f>IF(Q164&lt;1,0,2579)</f>
        <v>0</v>
      </c>
    </row>
    <row r="165" spans="3:27" ht="12.75" customHeight="1" hidden="1">
      <c r="C165" s="1017"/>
      <c r="D165" s="1140"/>
      <c r="E165" s="320"/>
      <c r="F165" s="288"/>
      <c r="G165" s="338"/>
      <c r="H165" s="288"/>
      <c r="I165" s="288"/>
      <c r="J165" s="426"/>
      <c r="K165" s="342"/>
      <c r="L165" s="322"/>
      <c r="M165" s="288"/>
      <c r="N165" s="322"/>
      <c r="P165" s="414"/>
      <c r="Q165" s="334"/>
      <c r="S165" s="324"/>
      <c r="U165" s="343"/>
      <c r="V165" s="338"/>
      <c r="W165" s="344"/>
      <c r="X165" s="344"/>
      <c r="Y165" s="338"/>
      <c r="Z165" s="344"/>
      <c r="AA165" s="322"/>
    </row>
    <row r="166" spans="3:27" ht="12.75" customHeight="1" hidden="1">
      <c r="C166" s="1017"/>
      <c r="D166" s="1140"/>
      <c r="E166" s="320"/>
      <c r="F166" s="288"/>
      <c r="G166" s="338"/>
      <c r="H166" s="288"/>
      <c r="I166" s="288"/>
      <c r="J166" s="426"/>
      <c r="K166" s="342"/>
      <c r="L166" s="322"/>
      <c r="M166" s="288"/>
      <c r="N166" s="322"/>
      <c r="P166" s="414"/>
      <c r="Q166" s="334"/>
      <c r="S166" s="324"/>
      <c r="U166" s="343"/>
      <c r="V166" s="338"/>
      <c r="W166" s="344"/>
      <c r="X166" s="344"/>
      <c r="Y166" s="338"/>
      <c r="Z166" s="344"/>
      <c r="AA166" s="322"/>
    </row>
    <row r="167" spans="3:27" ht="12.75" customHeight="1" hidden="1">
      <c r="C167" s="1017"/>
      <c r="D167" s="1140"/>
      <c r="E167" s="320"/>
      <c r="F167" s="288"/>
      <c r="G167" s="338"/>
      <c r="H167" s="288"/>
      <c r="I167" s="288"/>
      <c r="J167" s="426"/>
      <c r="K167" s="342"/>
      <c r="L167" s="322"/>
      <c r="M167" s="288"/>
      <c r="N167" s="322"/>
      <c r="P167" s="414"/>
      <c r="Q167" s="334"/>
      <c r="S167" s="324"/>
      <c r="U167" s="343"/>
      <c r="V167" s="338"/>
      <c r="W167" s="344"/>
      <c r="X167" s="344"/>
      <c r="Y167" s="338"/>
      <c r="Z167" s="344"/>
      <c r="AA167" s="322"/>
    </row>
    <row r="168" spans="3:27" ht="12.75" customHeight="1" hidden="1">
      <c r="C168" s="1017"/>
      <c r="D168" s="1140"/>
      <c r="E168" s="320"/>
      <c r="F168" s="288"/>
      <c r="G168" s="338"/>
      <c r="H168" s="288"/>
      <c r="I168" s="288"/>
      <c r="J168" s="426"/>
      <c r="K168" s="342"/>
      <c r="L168" s="322"/>
      <c r="M168" s="288"/>
      <c r="N168" s="322"/>
      <c r="P168" s="414"/>
      <c r="Q168" s="334"/>
      <c r="S168" s="324"/>
      <c r="U168" s="343"/>
      <c r="V168" s="338"/>
      <c r="W168" s="344"/>
      <c r="X168" s="344"/>
      <c r="Y168" s="338"/>
      <c r="Z168" s="344"/>
      <c r="AA168" s="322"/>
    </row>
    <row r="169" spans="3:27" ht="12.75" customHeight="1" hidden="1">
      <c r="C169" s="1017"/>
      <c r="D169" s="1140"/>
      <c r="E169" s="320"/>
      <c r="F169" s="288"/>
      <c r="G169" s="338"/>
      <c r="H169" s="288"/>
      <c r="I169" s="288"/>
      <c r="J169" s="426"/>
      <c r="K169" s="342"/>
      <c r="L169" s="322"/>
      <c r="M169" s="288"/>
      <c r="N169" s="322"/>
      <c r="P169" s="414"/>
      <c r="Q169" s="334"/>
      <c r="S169" s="324"/>
      <c r="U169" s="343"/>
      <c r="V169" s="338"/>
      <c r="W169" s="344"/>
      <c r="X169" s="344"/>
      <c r="Y169" s="338"/>
      <c r="Z169" s="344"/>
      <c r="AA169" s="322"/>
    </row>
    <row r="170" spans="3:27" ht="12.75" customHeight="1" hidden="1">
      <c r="C170" s="1017"/>
      <c r="D170" s="1140"/>
      <c r="E170" s="320"/>
      <c r="F170" s="288"/>
      <c r="G170" s="338"/>
      <c r="H170" s="288"/>
      <c r="I170" s="288"/>
      <c r="J170" s="426"/>
      <c r="K170" s="342"/>
      <c r="L170" s="322"/>
      <c r="M170" s="288"/>
      <c r="N170" s="322"/>
      <c r="P170" s="414"/>
      <c r="Q170" s="334"/>
      <c r="S170" s="324"/>
      <c r="U170" s="343"/>
      <c r="V170" s="338"/>
      <c r="W170" s="344"/>
      <c r="X170" s="344"/>
      <c r="Y170" s="338"/>
      <c r="Z170" s="344"/>
      <c r="AA170" s="322"/>
    </row>
    <row r="171" spans="3:27" ht="12.75" customHeight="1" hidden="1">
      <c r="C171" s="1017"/>
      <c r="D171" s="1140"/>
      <c r="E171" s="320"/>
      <c r="F171" s="288"/>
      <c r="G171" s="338"/>
      <c r="H171" s="288"/>
      <c r="I171" s="288"/>
      <c r="J171" s="426"/>
      <c r="K171" s="342"/>
      <c r="L171" s="322"/>
      <c r="M171" s="288"/>
      <c r="N171" s="322"/>
      <c r="P171" s="414"/>
      <c r="Q171" s="334"/>
      <c r="S171" s="324"/>
      <c r="U171" s="343"/>
      <c r="V171" s="338"/>
      <c r="W171" s="344"/>
      <c r="X171" s="344"/>
      <c r="Y171" s="338"/>
      <c r="Z171" s="344"/>
      <c r="AA171" s="322"/>
    </row>
    <row r="172" spans="3:27" ht="12.75" customHeight="1">
      <c r="C172" s="1017"/>
      <c r="D172" s="1140"/>
      <c r="E172" s="380"/>
      <c r="F172" s="415"/>
      <c r="G172" s="416"/>
      <c r="H172" s="415"/>
      <c r="I172" s="415"/>
      <c r="J172" s="418"/>
      <c r="K172" s="419"/>
      <c r="L172" s="420"/>
      <c r="M172" s="415"/>
      <c r="N172" s="322"/>
      <c r="P172" s="414"/>
      <c r="Q172" s="421"/>
      <c r="S172" s="324"/>
      <c r="U172" s="422"/>
      <c r="V172" s="416"/>
      <c r="W172" s="423"/>
      <c r="X172" s="423"/>
      <c r="Y172" s="416"/>
      <c r="Z172" s="423"/>
      <c r="AA172" s="420"/>
    </row>
    <row r="173" spans="3:31" ht="12.75" customHeight="1">
      <c r="C173" s="1017"/>
      <c r="D173" s="1140"/>
      <c r="E173" s="429" t="s">
        <v>106</v>
      </c>
      <c r="F173" s="415">
        <f>F164</f>
        <v>3.04</v>
      </c>
      <c r="G173" s="416"/>
      <c r="H173" s="417" t="s">
        <v>555</v>
      </c>
      <c r="I173" s="415">
        <v>0.3</v>
      </c>
      <c r="J173" s="418">
        <f>F173*I173</f>
        <v>0.9119999999999999</v>
      </c>
      <c r="K173" s="419" t="s">
        <v>233</v>
      </c>
      <c r="L173" s="420">
        <f>IF(Q173="","",N173*1/afa)</f>
      </c>
      <c r="M173" s="415"/>
      <c r="N173" s="322">
        <f>IF(Q173="","",863)</f>
      </c>
      <c r="P173" s="414" t="e">
        <f>X173/U173/1000</f>
        <v>#VALUE!</v>
      </c>
      <c r="Q173" s="334"/>
      <c r="S173" s="324" t="s">
        <v>240</v>
      </c>
      <c r="U173" s="422">
        <f>IF(Q173="","",J173*Q173)</f>
      </c>
      <c r="V173" s="416"/>
      <c r="W173" s="423">
        <f>IF(X173="","",X173*1/afa)</f>
      </c>
      <c r="X173" s="423">
        <f>IF(Q173=0,"",ROUNDUP(AA173*euro,-3))</f>
      </c>
      <c r="Y173" s="416"/>
      <c r="Z173" s="423">
        <f>IF(Q173="","",L173*Q173)</f>
      </c>
      <c r="AA173" s="420">
        <f>IF(Q173="","",Z173*afa)</f>
      </c>
      <c r="AE173" s="243">
        <f>IF(Q173&lt;1,0,100)</f>
        <v>0</v>
      </c>
    </row>
    <row r="174" spans="3:31" ht="19.5" customHeight="1">
      <c r="C174" s="406" t="s">
        <v>170</v>
      </c>
      <c r="D174" s="428"/>
      <c r="E174" s="288" t="s">
        <v>188</v>
      </c>
      <c r="F174" s="408" t="s">
        <v>686</v>
      </c>
      <c r="G174" s="240"/>
      <c r="P174" s="409" t="s">
        <v>478</v>
      </c>
      <c r="Q174" s="410"/>
      <c r="S174" s="324"/>
      <c r="AE174" s="243">
        <f>SUM(AE164:AE172)</f>
        <v>0</v>
      </c>
    </row>
    <row r="175" spans="3:31" ht="12.75" customHeight="1">
      <c r="C175" s="1017" t="s">
        <v>496</v>
      </c>
      <c r="D175" s="1141" t="s">
        <v>109</v>
      </c>
      <c r="E175" s="427" t="s">
        <v>687</v>
      </c>
      <c r="F175" s="413">
        <f>F164+0.3</f>
        <v>3.34</v>
      </c>
      <c r="G175" s="328"/>
      <c r="H175" s="327">
        <v>1</v>
      </c>
      <c r="I175" s="327">
        <f>modul</f>
        <v>1.48</v>
      </c>
      <c r="J175" s="413">
        <f>F175*I175</f>
        <v>4.9432</v>
      </c>
      <c r="K175" s="332" t="s">
        <v>233</v>
      </c>
      <c r="L175" s="333">
        <f>IF(Q175="","",N175*1/afa)</f>
      </c>
      <c r="M175" s="327"/>
      <c r="N175" s="322">
        <f>IF(Q175="","",1061)</f>
      </c>
      <c r="P175" s="414" t="e">
        <f>X175/U175/1000</f>
        <v>#VALUE!</v>
      </c>
      <c r="Q175" s="334"/>
      <c r="S175" s="324" t="s">
        <v>240</v>
      </c>
      <c r="U175" s="335">
        <f>IF(Q175="","",J175*Q175)</f>
      </c>
      <c r="V175" s="328" t="s">
        <v>233</v>
      </c>
      <c r="W175" s="336">
        <f>IF(X175="","",X175*1/afa)</f>
      </c>
      <c r="X175" s="336">
        <f>IF(Q175=0,"",ROUNDUP(AA175*euro,-3))</f>
      </c>
      <c r="Y175" s="328" t="s">
        <v>241</v>
      </c>
      <c r="Z175" s="336">
        <f>IF(Q175="","",L175*Q175)</f>
      </c>
      <c r="AA175" s="333">
        <f>IF(Q175="","",Z175*afa)</f>
      </c>
      <c r="AB175" s="242" t="s">
        <v>229</v>
      </c>
      <c r="AE175" s="243">
        <f>IF(Q175&lt;1,0,2947)</f>
        <v>0</v>
      </c>
    </row>
    <row r="176" spans="3:27" ht="0" customHeight="1" hidden="1">
      <c r="C176" s="1017"/>
      <c r="D176" s="1142"/>
      <c r="E176" s="320"/>
      <c r="F176" s="426"/>
      <c r="G176" s="338"/>
      <c r="H176" s="288"/>
      <c r="I176" s="288"/>
      <c r="J176" s="426"/>
      <c r="K176" s="342"/>
      <c r="L176" s="322"/>
      <c r="M176" s="288"/>
      <c r="N176" s="322"/>
      <c r="P176" s="414"/>
      <c r="Q176" s="334"/>
      <c r="S176" s="324"/>
      <c r="U176" s="343"/>
      <c r="V176" s="338"/>
      <c r="W176" s="344"/>
      <c r="X176" s="344"/>
      <c r="Y176" s="338"/>
      <c r="Z176" s="344"/>
      <c r="AA176" s="322"/>
    </row>
    <row r="177" spans="3:27" ht="0" customHeight="1" hidden="1">
      <c r="C177" s="1017"/>
      <c r="D177" s="1142"/>
      <c r="E177" s="320"/>
      <c r="F177" s="426"/>
      <c r="G177" s="338"/>
      <c r="H177" s="288"/>
      <c r="I177" s="288"/>
      <c r="J177" s="426"/>
      <c r="K177" s="342"/>
      <c r="L177" s="322"/>
      <c r="M177" s="288"/>
      <c r="N177" s="322"/>
      <c r="P177" s="414"/>
      <c r="Q177" s="334"/>
      <c r="S177" s="324"/>
      <c r="U177" s="343"/>
      <c r="V177" s="338"/>
      <c r="W177" s="344"/>
      <c r="X177" s="344"/>
      <c r="Y177" s="338"/>
      <c r="Z177" s="344"/>
      <c r="AA177" s="322"/>
    </row>
    <row r="178" spans="3:27" ht="0" customHeight="1" hidden="1">
      <c r="C178" s="1017"/>
      <c r="D178" s="1142"/>
      <c r="E178" s="320"/>
      <c r="F178" s="426"/>
      <c r="G178" s="338"/>
      <c r="H178" s="288"/>
      <c r="I178" s="288"/>
      <c r="J178" s="426"/>
      <c r="K178" s="342"/>
      <c r="L178" s="322"/>
      <c r="M178" s="288"/>
      <c r="N178" s="322"/>
      <c r="P178" s="414"/>
      <c r="Q178" s="334"/>
      <c r="S178" s="324"/>
      <c r="U178" s="343"/>
      <c r="V178" s="338"/>
      <c r="W178" s="344"/>
      <c r="X178" s="344"/>
      <c r="Y178" s="338"/>
      <c r="Z178" s="344"/>
      <c r="AA178" s="322"/>
    </row>
    <row r="179" spans="3:27" ht="0" customHeight="1" hidden="1">
      <c r="C179" s="1017"/>
      <c r="D179" s="1142"/>
      <c r="E179" s="320"/>
      <c r="F179" s="426"/>
      <c r="G179" s="338"/>
      <c r="H179" s="288"/>
      <c r="I179" s="288"/>
      <c r="J179" s="426"/>
      <c r="K179" s="342"/>
      <c r="L179" s="322"/>
      <c r="M179" s="288"/>
      <c r="N179" s="322"/>
      <c r="P179" s="414"/>
      <c r="Q179" s="334"/>
      <c r="S179" s="324"/>
      <c r="U179" s="343"/>
      <c r="V179" s="338"/>
      <c r="W179" s="344"/>
      <c r="X179" s="344"/>
      <c r="Y179" s="338"/>
      <c r="Z179" s="344"/>
      <c r="AA179" s="322"/>
    </row>
    <row r="180" spans="3:27" ht="0" customHeight="1" hidden="1">
      <c r="C180" s="1017"/>
      <c r="D180" s="1142"/>
      <c r="E180" s="320"/>
      <c r="F180" s="426"/>
      <c r="G180" s="338"/>
      <c r="H180" s="288"/>
      <c r="I180" s="288"/>
      <c r="J180" s="426"/>
      <c r="K180" s="342"/>
      <c r="L180" s="322"/>
      <c r="M180" s="288"/>
      <c r="N180" s="322"/>
      <c r="P180" s="414"/>
      <c r="Q180" s="334"/>
      <c r="S180" s="324"/>
      <c r="U180" s="343"/>
      <c r="V180" s="338"/>
      <c r="W180" s="344"/>
      <c r="X180" s="344"/>
      <c r="Y180" s="338"/>
      <c r="Z180" s="344"/>
      <c r="AA180" s="322"/>
    </row>
    <row r="181" spans="3:27" ht="0" customHeight="1" hidden="1">
      <c r="C181" s="1017"/>
      <c r="D181" s="1142"/>
      <c r="E181" s="320"/>
      <c r="F181" s="426"/>
      <c r="G181" s="338"/>
      <c r="H181" s="288"/>
      <c r="I181" s="288"/>
      <c r="J181" s="426"/>
      <c r="K181" s="342"/>
      <c r="L181" s="322"/>
      <c r="M181" s="288"/>
      <c r="N181" s="322"/>
      <c r="P181" s="414"/>
      <c r="Q181" s="334"/>
      <c r="S181" s="324"/>
      <c r="U181" s="343"/>
      <c r="V181" s="338"/>
      <c r="W181" s="344"/>
      <c r="X181" s="344"/>
      <c r="Y181" s="338"/>
      <c r="Z181" s="344"/>
      <c r="AA181" s="322"/>
    </row>
    <row r="182" spans="3:27" ht="0" customHeight="1" hidden="1">
      <c r="C182" s="1017"/>
      <c r="D182" s="1142"/>
      <c r="E182" s="320"/>
      <c r="F182" s="426"/>
      <c r="G182" s="338"/>
      <c r="H182" s="288"/>
      <c r="I182" s="288"/>
      <c r="J182" s="426"/>
      <c r="K182" s="342"/>
      <c r="L182" s="322"/>
      <c r="M182" s="288"/>
      <c r="N182" s="322"/>
      <c r="P182" s="414"/>
      <c r="Q182" s="334"/>
      <c r="S182" s="324"/>
      <c r="U182" s="343"/>
      <c r="V182" s="338"/>
      <c r="W182" s="344"/>
      <c r="X182" s="344"/>
      <c r="Y182" s="338"/>
      <c r="Z182" s="344"/>
      <c r="AA182" s="322"/>
    </row>
    <row r="183" spans="3:27" ht="12.75" customHeight="1">
      <c r="C183" s="1017"/>
      <c r="D183" s="1142"/>
      <c r="E183" s="380"/>
      <c r="F183" s="418"/>
      <c r="G183" s="416"/>
      <c r="H183" s="415"/>
      <c r="I183" s="415"/>
      <c r="J183" s="418"/>
      <c r="K183" s="419"/>
      <c r="L183" s="420"/>
      <c r="M183" s="415"/>
      <c r="N183" s="322"/>
      <c r="P183" s="414"/>
      <c r="Q183" s="421"/>
      <c r="S183" s="324"/>
      <c r="U183" s="422"/>
      <c r="V183" s="416"/>
      <c r="W183" s="423"/>
      <c r="X183" s="423"/>
      <c r="Y183" s="416"/>
      <c r="Z183" s="423"/>
      <c r="AA183" s="420"/>
    </row>
    <row r="184" spans="3:31" ht="12.75" customHeight="1">
      <c r="C184" s="1017"/>
      <c r="D184" s="1142"/>
      <c r="E184" s="430" t="s">
        <v>106</v>
      </c>
      <c r="F184" s="418">
        <f>F175</f>
        <v>3.34</v>
      </c>
      <c r="G184" s="416"/>
      <c r="H184" s="417" t="s">
        <v>554</v>
      </c>
      <c r="I184" s="415">
        <v>0.3</v>
      </c>
      <c r="J184" s="418">
        <f>F184*I184</f>
        <v>1.002</v>
      </c>
      <c r="K184" s="419" t="s">
        <v>233</v>
      </c>
      <c r="L184" s="420">
        <f>IF(Q184="","",N184*1/afa)</f>
      </c>
      <c r="M184" s="415"/>
      <c r="N184" s="322">
        <f>IF(Q184="","",974)</f>
      </c>
      <c r="P184" s="414" t="e">
        <f>X184/U184/1000</f>
        <v>#VALUE!</v>
      </c>
      <c r="Q184" s="334"/>
      <c r="S184" s="324" t="s">
        <v>240</v>
      </c>
      <c r="U184" s="422">
        <f>IF(Q184="","",J184*Q184)</f>
      </c>
      <c r="V184" s="416"/>
      <c r="W184" s="423">
        <f>IF(X184="","",X184*1/afa)</f>
      </c>
      <c r="X184" s="423">
        <f>IF(Q184=0,"",ROUNDUP(AA184*euro,-3))</f>
      </c>
      <c r="Y184" s="416"/>
      <c r="Z184" s="423">
        <f>IF(Q184="","",L184*Q184)</f>
      </c>
      <c r="AA184" s="420">
        <f>IF(Q184="","",Z184*afa)</f>
      </c>
      <c r="AE184" s="243">
        <f>IF(Q184&lt;1,0,100)</f>
        <v>0</v>
      </c>
    </row>
    <row r="185" spans="16:31" ht="12.75" customHeight="1">
      <c r="P185" s="240"/>
      <c r="Q185" s="411"/>
      <c r="S185" s="324"/>
      <c r="AE185" s="243">
        <f>SUM(AE175:AE183)</f>
        <v>0</v>
      </c>
    </row>
    <row r="186" spans="1:31" ht="19.5" customHeight="1">
      <c r="A186" s="251"/>
      <c r="C186" s="375" t="s">
        <v>253</v>
      </c>
      <c r="D186" s="431" t="s">
        <v>184</v>
      </c>
      <c r="Q186" s="405"/>
      <c r="S186" s="324">
        <f>SUM(Q132:Q183)</f>
        <v>0</v>
      </c>
      <c r="U186" s="245">
        <f>SUM(U132:U184)</f>
        <v>0</v>
      </c>
      <c r="W186" s="246">
        <f>X186*1/afa</f>
        <v>0</v>
      </c>
      <c r="X186" s="246">
        <f>ROUNDUP(afa*Z186*euro,-4)</f>
        <v>0</v>
      </c>
      <c r="Z186" s="246">
        <f>SUM(Z132:Z183)</f>
        <v>0</v>
      </c>
      <c r="AA186" s="243">
        <f>Z186*afa</f>
        <v>0</v>
      </c>
      <c r="AB186" s="242" t="s">
        <v>229</v>
      </c>
      <c r="AE186" s="243">
        <f>AE141+AE152+AE163+AE174+AE185</f>
        <v>0</v>
      </c>
    </row>
    <row r="187" spans="3:32" ht="3.75" customHeight="1">
      <c r="C187" s="277"/>
      <c r="D187" s="278"/>
      <c r="E187" s="278"/>
      <c r="F187" s="278"/>
      <c r="G187" s="279"/>
      <c r="H187" s="278"/>
      <c r="I187" s="278"/>
      <c r="J187" s="278"/>
      <c r="K187" s="280"/>
      <c r="L187" s="281"/>
      <c r="M187" s="278"/>
      <c r="N187" s="281"/>
      <c r="O187" s="278"/>
      <c r="P187" s="282"/>
      <c r="Q187" s="283"/>
      <c r="R187" s="284"/>
      <c r="S187" s="285"/>
      <c r="T187" s="278"/>
      <c r="U187" s="286"/>
      <c r="V187" s="279"/>
      <c r="W187" s="287"/>
      <c r="X187" s="287"/>
      <c r="Y187" s="279"/>
      <c r="Z187" s="287"/>
      <c r="AA187" s="281"/>
      <c r="AB187" s="279"/>
      <c r="AC187" s="278"/>
      <c r="AD187" s="278"/>
      <c r="AE187" s="281"/>
      <c r="AF187" s="278"/>
    </row>
    <row r="188" spans="5:19" ht="12.75" customHeight="1">
      <c r="E188" s="432" t="s">
        <v>521</v>
      </c>
      <c r="L188" s="1009" t="s">
        <v>711</v>
      </c>
      <c r="M188" s="1009"/>
      <c r="N188" s="376"/>
      <c r="Q188" s="405"/>
      <c r="S188" s="324"/>
    </row>
    <row r="189" spans="4:19" ht="19.5" customHeight="1">
      <c r="D189" s="240" t="s">
        <v>155</v>
      </c>
      <c r="Q189" s="405"/>
      <c r="S189" s="324"/>
    </row>
    <row r="190" spans="1:31" s="305" customFormat="1" ht="41.25" customHeight="1">
      <c r="A190" s="304"/>
      <c r="C190" s="377" t="s">
        <v>518</v>
      </c>
      <c r="E190" s="433" t="s">
        <v>546</v>
      </c>
      <c r="F190" s="308" t="s">
        <v>176</v>
      </c>
      <c r="G190" s="309"/>
      <c r="H190" s="309" t="s">
        <v>225</v>
      </c>
      <c r="I190" s="308" t="s">
        <v>226</v>
      </c>
      <c r="J190" s="310" t="s">
        <v>167</v>
      </c>
      <c r="K190" s="309"/>
      <c r="L190" s="311" t="s">
        <v>249</v>
      </c>
      <c r="M190" s="309"/>
      <c r="N190" s="312" t="s">
        <v>250</v>
      </c>
      <c r="O190" s="309"/>
      <c r="P190" s="313"/>
      <c r="Q190" s="379"/>
      <c r="R190" s="315" t="s">
        <v>165</v>
      </c>
      <c r="S190" s="315"/>
      <c r="T190" s="308"/>
      <c r="U190" s="317" t="s">
        <v>228</v>
      </c>
      <c r="V190" s="309" t="s">
        <v>233</v>
      </c>
      <c r="W190" s="318" t="s">
        <v>441</v>
      </c>
      <c r="X190" s="318" t="s">
        <v>441</v>
      </c>
      <c r="Y190" s="309"/>
      <c r="Z190" s="318" t="s">
        <v>166</v>
      </c>
      <c r="AA190" s="319" t="s">
        <v>166</v>
      </c>
      <c r="AB190" s="309" t="s">
        <v>229</v>
      </c>
      <c r="AC190" s="309"/>
      <c r="AD190" s="309"/>
      <c r="AE190" s="312" t="s">
        <v>230</v>
      </c>
    </row>
    <row r="191" spans="1:31" s="428" customFormat="1" ht="12.75" customHeight="1">
      <c r="A191" s="434"/>
      <c r="C191" s="242"/>
      <c r="E191" s="435" t="s">
        <v>188</v>
      </c>
      <c r="G191" s="242"/>
      <c r="I191" s="428" t="s">
        <v>231</v>
      </c>
      <c r="J191" s="321" t="s">
        <v>688</v>
      </c>
      <c r="K191" s="231"/>
      <c r="L191" s="436"/>
      <c r="N191" s="436"/>
      <c r="P191" s="437"/>
      <c r="Q191" s="438"/>
      <c r="R191" s="235"/>
      <c r="S191" s="324"/>
      <c r="U191" s="439" t="s">
        <v>233</v>
      </c>
      <c r="V191" s="242"/>
      <c r="W191" s="246" t="s">
        <v>234</v>
      </c>
      <c r="X191" s="246" t="s">
        <v>235</v>
      </c>
      <c r="Y191" s="242"/>
      <c r="Z191" s="246" t="s">
        <v>234</v>
      </c>
      <c r="AA191" s="436" t="s">
        <v>237</v>
      </c>
      <c r="AB191" s="242"/>
      <c r="AE191" s="309" t="s">
        <v>238</v>
      </c>
    </row>
    <row r="192" spans="3:31" ht="12.75" customHeight="1">
      <c r="C192" s="1096" t="s">
        <v>544</v>
      </c>
      <c r="D192" s="1030" t="s">
        <v>689</v>
      </c>
      <c r="E192" s="427" t="s">
        <v>254</v>
      </c>
      <c r="F192" s="329">
        <v>2.8</v>
      </c>
      <c r="G192" s="328" t="s">
        <v>239</v>
      </c>
      <c r="H192" s="329">
        <v>1.5</v>
      </c>
      <c r="I192" s="329">
        <v>2.1</v>
      </c>
      <c r="J192" s="440">
        <f aca="true" t="shared" si="68" ref="J192:J200">I192*0.19</f>
        <v>0.399</v>
      </c>
      <c r="K192" s="332" t="s">
        <v>233</v>
      </c>
      <c r="L192" s="333">
        <f aca="true" t="shared" si="69" ref="L192:L200">IF(Q192="","",N192*1/afa)</f>
      </c>
      <c r="M192" s="327"/>
      <c r="N192" s="322">
        <f>IF(Q192="","",360)</f>
      </c>
      <c r="Q192" s="334"/>
      <c r="S192" s="324" t="s">
        <v>240</v>
      </c>
      <c r="U192" s="335">
        <f aca="true" t="shared" si="70" ref="U192:U200">IF(Q192="","",J192*Q192)</f>
      </c>
      <c r="V192" s="328" t="s">
        <v>233</v>
      </c>
      <c r="W192" s="336">
        <f aca="true" t="shared" si="71" ref="W192:W200">IF(X192="","",X192*1/afa)</f>
      </c>
      <c r="X192" s="336">
        <f aca="true" t="shared" si="72" ref="X192:X200">IF(Q192=0,"",ROUNDUP(AA192*euro,-3))</f>
      </c>
      <c r="Y192" s="328" t="s">
        <v>241</v>
      </c>
      <c r="Z192" s="336">
        <f aca="true" t="shared" si="73" ref="Z192:Z200">IF(Q192="","",L192*Q192)</f>
      </c>
      <c r="AA192" s="333">
        <f aca="true" t="shared" si="74" ref="AA192:AA200">IF(Q192="","",Z192*afa)</f>
      </c>
      <c r="AB192" s="242" t="s">
        <v>229</v>
      </c>
      <c r="AE192" s="243">
        <f>IF(Q192&lt;1,0,290)</f>
        <v>0</v>
      </c>
    </row>
    <row r="193" spans="3:31" ht="12.75" customHeight="1">
      <c r="C193" s="1017"/>
      <c r="D193" s="1030"/>
      <c r="E193" s="427" t="s">
        <v>255</v>
      </c>
      <c r="F193" s="288"/>
      <c r="G193" s="338"/>
      <c r="H193" s="339">
        <v>2.5</v>
      </c>
      <c r="I193" s="339">
        <v>2.4</v>
      </c>
      <c r="J193" s="403">
        <f t="shared" si="68"/>
        <v>0.45599999999999996</v>
      </c>
      <c r="K193" s="342" t="s">
        <v>233</v>
      </c>
      <c r="L193" s="322">
        <f t="shared" si="69"/>
      </c>
      <c r="M193" s="288"/>
      <c r="N193" s="322">
        <f>IF(Q193="","",610)</f>
      </c>
      <c r="Q193" s="334"/>
      <c r="S193" s="324" t="s">
        <v>240</v>
      </c>
      <c r="U193" s="343">
        <f t="shared" si="70"/>
      </c>
      <c r="V193" s="338"/>
      <c r="W193" s="344">
        <f t="shared" si="71"/>
      </c>
      <c r="X193" s="344">
        <f t="shared" si="72"/>
      </c>
      <c r="Y193" s="338"/>
      <c r="Z193" s="344">
        <f t="shared" si="73"/>
      </c>
      <c r="AA193" s="322">
        <f t="shared" si="74"/>
      </c>
      <c r="AE193" s="243">
        <f>IF(Q193&lt;1,0,420)</f>
        <v>0</v>
      </c>
    </row>
    <row r="194" spans="3:31" ht="12.75" customHeight="1">
      <c r="C194" s="1017"/>
      <c r="D194" s="1030"/>
      <c r="E194" s="427" t="s">
        <v>256</v>
      </c>
      <c r="F194" s="288"/>
      <c r="G194" s="338"/>
      <c r="H194" s="339">
        <v>3.5</v>
      </c>
      <c r="I194" s="339">
        <v>4.7</v>
      </c>
      <c r="J194" s="403">
        <f t="shared" si="68"/>
        <v>0.893</v>
      </c>
      <c r="K194" s="342" t="s">
        <v>233</v>
      </c>
      <c r="L194" s="322">
        <f t="shared" si="69"/>
      </c>
      <c r="M194" s="288"/>
      <c r="N194" s="322">
        <f>IF(Q194="","",845)</f>
      </c>
      <c r="Q194" s="334"/>
      <c r="S194" s="324" t="s">
        <v>240</v>
      </c>
      <c r="U194" s="343">
        <f t="shared" si="70"/>
      </c>
      <c r="V194" s="338"/>
      <c r="W194" s="344">
        <f t="shared" si="71"/>
      </c>
      <c r="X194" s="344">
        <f t="shared" si="72"/>
      </c>
      <c r="Y194" s="338"/>
      <c r="Z194" s="344">
        <f t="shared" si="73"/>
      </c>
      <c r="AA194" s="322">
        <f t="shared" si="74"/>
      </c>
      <c r="AE194" s="243">
        <f>IF(Q194&lt;1,0,580)</f>
        <v>0</v>
      </c>
    </row>
    <row r="195" spans="3:31" ht="12.75" customHeight="1">
      <c r="C195" s="1017"/>
      <c r="D195" s="1030"/>
      <c r="E195" s="427" t="s">
        <v>257</v>
      </c>
      <c r="F195" s="288"/>
      <c r="G195" s="338"/>
      <c r="H195" s="339">
        <v>4.5</v>
      </c>
      <c r="I195" s="339">
        <v>6</v>
      </c>
      <c r="J195" s="403">
        <f t="shared" si="68"/>
        <v>1.1400000000000001</v>
      </c>
      <c r="K195" s="342" t="s">
        <v>233</v>
      </c>
      <c r="L195" s="322">
        <f t="shared" si="69"/>
      </c>
      <c r="M195" s="288"/>
      <c r="N195" s="322">
        <f>IF(Q195="","",1090)</f>
      </c>
      <c r="Q195" s="334"/>
      <c r="S195" s="324" t="s">
        <v>240</v>
      </c>
      <c r="U195" s="343">
        <f t="shared" si="70"/>
      </c>
      <c r="V195" s="338"/>
      <c r="W195" s="344">
        <f t="shared" si="71"/>
      </c>
      <c r="X195" s="344">
        <f t="shared" si="72"/>
      </c>
      <c r="Y195" s="338"/>
      <c r="Z195" s="344">
        <f t="shared" si="73"/>
      </c>
      <c r="AA195" s="322">
        <f t="shared" si="74"/>
      </c>
      <c r="AE195" s="243">
        <f>IF(Q195&lt;1,0,750)</f>
        <v>0</v>
      </c>
    </row>
    <row r="196" spans="3:31" ht="12.75" customHeight="1">
      <c r="C196" s="1017"/>
      <c r="D196" s="1030"/>
      <c r="E196" s="427" t="s">
        <v>258</v>
      </c>
      <c r="F196" s="288"/>
      <c r="G196" s="338"/>
      <c r="H196" s="339">
        <v>5.5</v>
      </c>
      <c r="I196" s="339">
        <v>7.4</v>
      </c>
      <c r="J196" s="403">
        <f t="shared" si="68"/>
        <v>1.4060000000000001</v>
      </c>
      <c r="K196" s="342" t="s">
        <v>233</v>
      </c>
      <c r="L196" s="322">
        <f t="shared" si="69"/>
      </c>
      <c r="M196" s="288"/>
      <c r="N196" s="322">
        <f>IF(Q196="","",1330)</f>
      </c>
      <c r="Q196" s="334"/>
      <c r="S196" s="324" t="s">
        <v>240</v>
      </c>
      <c r="U196" s="343">
        <f t="shared" si="70"/>
      </c>
      <c r="V196" s="338"/>
      <c r="W196" s="344">
        <f t="shared" si="71"/>
      </c>
      <c r="X196" s="344">
        <f t="shared" si="72"/>
      </c>
      <c r="Y196" s="338"/>
      <c r="Z196" s="344">
        <f t="shared" si="73"/>
      </c>
      <c r="AA196" s="322">
        <f t="shared" si="74"/>
      </c>
      <c r="AE196" s="243">
        <f>IF(Q196&lt;1,0,910)</f>
        <v>0</v>
      </c>
    </row>
    <row r="197" spans="3:31" ht="12.75" customHeight="1">
      <c r="C197" s="1017"/>
      <c r="D197" s="1030"/>
      <c r="E197" s="427" t="s">
        <v>259</v>
      </c>
      <c r="F197" s="288"/>
      <c r="G197" s="338"/>
      <c r="H197" s="339">
        <v>6.5</v>
      </c>
      <c r="I197" s="339">
        <v>8.7</v>
      </c>
      <c r="J197" s="403">
        <f t="shared" si="68"/>
        <v>1.6529999999999998</v>
      </c>
      <c r="K197" s="342" t="s">
        <v>233</v>
      </c>
      <c r="L197" s="322">
        <f t="shared" si="69"/>
      </c>
      <c r="M197" s="288"/>
      <c r="N197" s="322">
        <f>IF(Q197="","",1530)</f>
      </c>
      <c r="Q197" s="334"/>
      <c r="S197" s="324" t="s">
        <v>240</v>
      </c>
      <c r="U197" s="343">
        <f t="shared" si="70"/>
      </c>
      <c r="V197" s="338"/>
      <c r="W197" s="344">
        <f t="shared" si="71"/>
      </c>
      <c r="X197" s="344">
        <f t="shared" si="72"/>
      </c>
      <c r="Y197" s="338"/>
      <c r="Z197" s="344">
        <f t="shared" si="73"/>
      </c>
      <c r="AA197" s="322">
        <f t="shared" si="74"/>
      </c>
      <c r="AE197" s="243">
        <f>IF(Q197&lt;1,0,1080)</f>
        <v>0</v>
      </c>
    </row>
    <row r="198" spans="3:31" ht="12.75" customHeight="1">
      <c r="C198" s="1017"/>
      <c r="D198" s="1030"/>
      <c r="E198" s="427" t="s">
        <v>260</v>
      </c>
      <c r="F198" s="288"/>
      <c r="G198" s="338"/>
      <c r="H198" s="339">
        <v>7.5</v>
      </c>
      <c r="I198" s="339">
        <v>10</v>
      </c>
      <c r="J198" s="403">
        <f t="shared" si="68"/>
        <v>1.9</v>
      </c>
      <c r="K198" s="342" t="s">
        <v>233</v>
      </c>
      <c r="L198" s="322">
        <f t="shared" si="69"/>
      </c>
      <c r="M198" s="288"/>
      <c r="N198" s="322">
        <f>IF(Q198="","",1810)</f>
      </c>
      <c r="Q198" s="334"/>
      <c r="S198" s="324" t="s">
        <v>240</v>
      </c>
      <c r="U198" s="343">
        <f t="shared" si="70"/>
      </c>
      <c r="V198" s="338"/>
      <c r="W198" s="344">
        <f t="shared" si="71"/>
      </c>
      <c r="X198" s="344">
        <f t="shared" si="72"/>
      </c>
      <c r="Y198" s="338"/>
      <c r="Z198" s="344">
        <f t="shared" si="73"/>
      </c>
      <c r="AA198" s="322">
        <f t="shared" si="74"/>
      </c>
      <c r="AE198" s="243">
        <f>IF(Q198&lt;1,0,1240)</f>
        <v>0</v>
      </c>
    </row>
    <row r="199" spans="3:31" ht="12.75" customHeight="1">
      <c r="C199" s="1017"/>
      <c r="D199" s="1030"/>
      <c r="E199" s="427" t="s">
        <v>261</v>
      </c>
      <c r="F199" s="288"/>
      <c r="G199" s="338"/>
      <c r="H199" s="339">
        <v>8.5</v>
      </c>
      <c r="I199" s="339">
        <v>11.3</v>
      </c>
      <c r="J199" s="403">
        <f t="shared" si="68"/>
        <v>2.1470000000000002</v>
      </c>
      <c r="K199" s="342" t="s">
        <v>233</v>
      </c>
      <c r="L199" s="322">
        <f t="shared" si="69"/>
      </c>
      <c r="M199" s="288"/>
      <c r="N199" s="322">
        <f>IF(Q199="","",2050)</f>
      </c>
      <c r="Q199" s="334"/>
      <c r="S199" s="324" t="s">
        <v>240</v>
      </c>
      <c r="U199" s="343">
        <f t="shared" si="70"/>
      </c>
      <c r="V199" s="338"/>
      <c r="W199" s="344">
        <f t="shared" si="71"/>
      </c>
      <c r="X199" s="344">
        <f t="shared" si="72"/>
      </c>
      <c r="Y199" s="338"/>
      <c r="Z199" s="344">
        <f t="shared" si="73"/>
      </c>
      <c r="AA199" s="322">
        <f t="shared" si="74"/>
      </c>
      <c r="AE199" s="243">
        <f>IF(Q199&lt;1,0,1410)</f>
        <v>0</v>
      </c>
    </row>
    <row r="200" spans="3:31" ht="12.75" customHeight="1">
      <c r="C200" s="1017"/>
      <c r="D200" s="1030"/>
      <c r="E200" s="427" t="s">
        <v>262</v>
      </c>
      <c r="F200" s="415"/>
      <c r="G200" s="416"/>
      <c r="H200" s="417">
        <v>9.5</v>
      </c>
      <c r="I200" s="417">
        <v>12.7</v>
      </c>
      <c r="J200" s="441">
        <f t="shared" si="68"/>
        <v>2.413</v>
      </c>
      <c r="K200" s="419" t="s">
        <v>233</v>
      </c>
      <c r="L200" s="420">
        <f t="shared" si="69"/>
      </c>
      <c r="M200" s="415"/>
      <c r="N200" s="322">
        <f>IF(Q200="","",2295)</f>
      </c>
      <c r="Q200" s="334"/>
      <c r="S200" s="324" t="s">
        <v>240</v>
      </c>
      <c r="U200" s="422">
        <f t="shared" si="70"/>
      </c>
      <c r="V200" s="416"/>
      <c r="W200" s="423">
        <f t="shared" si="71"/>
      </c>
      <c r="X200" s="423">
        <f t="shared" si="72"/>
      </c>
      <c r="Y200" s="416"/>
      <c r="Z200" s="423">
        <f t="shared" si="73"/>
      </c>
      <c r="AA200" s="420">
        <f t="shared" si="74"/>
      </c>
      <c r="AE200" s="243">
        <f>IF(Q200&lt;1,0,1570)</f>
        <v>0</v>
      </c>
    </row>
    <row r="201" spans="1:31" s="241" customFormat="1" ht="7.5" customHeight="1">
      <c r="A201" s="290"/>
      <c r="C201" s="1054" t="s">
        <v>477</v>
      </c>
      <c r="G201" s="242"/>
      <c r="K201" s="231"/>
      <c r="L201" s="443"/>
      <c r="N201" s="443"/>
      <c r="P201" s="244"/>
      <c r="Q201" s="323"/>
      <c r="R201" s="231"/>
      <c r="S201" s="324"/>
      <c r="U201" s="444">
        <f>SUM(U192:U200)</f>
        <v>0</v>
      </c>
      <c r="V201" s="242"/>
      <c r="W201" s="445"/>
      <c r="X201" s="445"/>
      <c r="Y201" s="242"/>
      <c r="Z201" s="445">
        <f>SUM(Z192:Z200)</f>
        <v>0</v>
      </c>
      <c r="AA201" s="443"/>
      <c r="AB201" s="242"/>
      <c r="AE201" s="443">
        <f>SUM(AE192:AE200)</f>
        <v>0</v>
      </c>
    </row>
    <row r="202" spans="3:19" ht="19.5" customHeight="1">
      <c r="C202" s="1054"/>
      <c r="D202" s="240" t="s">
        <v>154</v>
      </c>
      <c r="Q202" s="323"/>
      <c r="S202" s="324"/>
    </row>
    <row r="203" spans="3:31" ht="12.75" customHeight="1">
      <c r="C203" s="1096" t="s">
        <v>545</v>
      </c>
      <c r="D203" s="1030" t="s">
        <v>690</v>
      </c>
      <c r="E203" s="427" t="s">
        <v>535</v>
      </c>
      <c r="F203" s="329">
        <v>2.8</v>
      </c>
      <c r="G203" s="328" t="s">
        <v>239</v>
      </c>
      <c r="H203" s="329">
        <v>1.5</v>
      </c>
      <c r="I203" s="329">
        <v>2.1</v>
      </c>
      <c r="J203" s="440">
        <f aca="true" t="shared" si="75" ref="J203:J211">I203*0.19</f>
        <v>0.399</v>
      </c>
      <c r="K203" s="332" t="s">
        <v>233</v>
      </c>
      <c r="L203" s="333">
        <f aca="true" t="shared" si="76" ref="L203:L211">IF(Q203="","",N203*1/afa)</f>
      </c>
      <c r="M203" s="327"/>
      <c r="N203" s="322">
        <f>IF(Q203="","",315)</f>
      </c>
      <c r="Q203" s="334"/>
      <c r="S203" s="324" t="s">
        <v>240</v>
      </c>
      <c r="U203" s="335">
        <f aca="true" t="shared" si="77" ref="U203:U211">IF(Q203="","",J203*Q203)</f>
      </c>
      <c r="V203" s="328" t="s">
        <v>233</v>
      </c>
      <c r="W203" s="336">
        <f aca="true" t="shared" si="78" ref="W203:W211">IF(X203="","",X203*1/afa)</f>
      </c>
      <c r="X203" s="336">
        <f aca="true" t="shared" si="79" ref="X203:X211">IF(Q203=0,"",ROUNDUP(AA203*euro,-3))</f>
      </c>
      <c r="Y203" s="328" t="s">
        <v>241</v>
      </c>
      <c r="Z203" s="336">
        <f aca="true" t="shared" si="80" ref="Z203:Z211">IF(Q203="","",L203*Q203)</f>
      </c>
      <c r="AA203" s="333">
        <f aca="true" t="shared" si="81" ref="AA203:AA211">IF(Q203="","",Z203*afa)</f>
      </c>
      <c r="AB203" s="242" t="s">
        <v>229</v>
      </c>
      <c r="AE203" s="243">
        <f>IF(Q203&lt;1,0,250)</f>
        <v>0</v>
      </c>
    </row>
    <row r="204" spans="3:31" ht="12.75" customHeight="1">
      <c r="C204" s="1017"/>
      <c r="D204" s="1030"/>
      <c r="E204" s="427" t="s">
        <v>536</v>
      </c>
      <c r="F204" s="288"/>
      <c r="G204" s="338"/>
      <c r="H204" s="339">
        <v>2.5</v>
      </c>
      <c r="I204" s="339">
        <v>2.4</v>
      </c>
      <c r="J204" s="403">
        <f t="shared" si="75"/>
        <v>0.45599999999999996</v>
      </c>
      <c r="K204" s="342" t="s">
        <v>233</v>
      </c>
      <c r="L204" s="322">
        <f t="shared" si="76"/>
      </c>
      <c r="M204" s="288"/>
      <c r="N204" s="322">
        <f>IF(Q204="","",525)</f>
      </c>
      <c r="Q204" s="334"/>
      <c r="S204" s="324" t="s">
        <v>240</v>
      </c>
      <c r="U204" s="343">
        <f t="shared" si="77"/>
      </c>
      <c r="V204" s="338"/>
      <c r="W204" s="344">
        <f t="shared" si="78"/>
      </c>
      <c r="X204" s="344">
        <f t="shared" si="79"/>
      </c>
      <c r="Y204" s="338"/>
      <c r="Z204" s="344">
        <f t="shared" si="80"/>
      </c>
      <c r="AA204" s="322">
        <f t="shared" si="81"/>
      </c>
      <c r="AE204" s="243">
        <f>IF(Q204&lt;1,0,420)</f>
        <v>0</v>
      </c>
    </row>
    <row r="205" spans="3:31" ht="12.75" customHeight="1">
      <c r="C205" s="1017"/>
      <c r="D205" s="1030"/>
      <c r="E205" s="427" t="s">
        <v>537</v>
      </c>
      <c r="F205" s="288"/>
      <c r="G205" s="338"/>
      <c r="H205" s="339">
        <v>3.5</v>
      </c>
      <c r="I205" s="339">
        <v>4.7</v>
      </c>
      <c r="J205" s="403">
        <f t="shared" si="75"/>
        <v>0.893</v>
      </c>
      <c r="K205" s="342" t="s">
        <v>233</v>
      </c>
      <c r="L205" s="322">
        <f t="shared" si="76"/>
      </c>
      <c r="M205" s="288"/>
      <c r="N205" s="322">
        <f>IF(Q205="","",735)</f>
      </c>
      <c r="Q205" s="334"/>
      <c r="S205" s="324" t="s">
        <v>240</v>
      </c>
      <c r="U205" s="343">
        <f t="shared" si="77"/>
      </c>
      <c r="V205" s="338"/>
      <c r="W205" s="344">
        <f t="shared" si="78"/>
      </c>
      <c r="X205" s="344">
        <f t="shared" si="79"/>
      </c>
      <c r="Y205" s="338"/>
      <c r="Z205" s="344">
        <f t="shared" si="80"/>
      </c>
      <c r="AA205" s="322">
        <f t="shared" si="81"/>
      </c>
      <c r="AE205" s="243">
        <f>IF(Q205&lt;1,0,580)</f>
        <v>0</v>
      </c>
    </row>
    <row r="206" spans="3:31" ht="12.75" customHeight="1">
      <c r="C206" s="1017"/>
      <c r="D206" s="1030"/>
      <c r="E206" s="427" t="s">
        <v>538</v>
      </c>
      <c r="F206" s="288"/>
      <c r="G206" s="338"/>
      <c r="H206" s="339">
        <v>4.5</v>
      </c>
      <c r="I206" s="339">
        <v>6</v>
      </c>
      <c r="J206" s="403">
        <f t="shared" si="75"/>
        <v>1.1400000000000001</v>
      </c>
      <c r="K206" s="342" t="s">
        <v>233</v>
      </c>
      <c r="L206" s="322">
        <f t="shared" si="76"/>
      </c>
      <c r="M206" s="288"/>
      <c r="N206" s="322">
        <f>IF(Q206="","",945)</f>
      </c>
      <c r="Q206" s="334"/>
      <c r="S206" s="324" t="s">
        <v>240</v>
      </c>
      <c r="U206" s="343">
        <f t="shared" si="77"/>
      </c>
      <c r="V206" s="338"/>
      <c r="W206" s="344">
        <f t="shared" si="78"/>
      </c>
      <c r="X206" s="344">
        <f t="shared" si="79"/>
      </c>
      <c r="Y206" s="338"/>
      <c r="Z206" s="344">
        <f t="shared" si="80"/>
      </c>
      <c r="AA206" s="322">
        <f t="shared" si="81"/>
      </c>
      <c r="AE206" s="243">
        <f>IF(Q206&lt;1,0,750)</f>
        <v>0</v>
      </c>
    </row>
    <row r="207" spans="3:31" ht="12.75" customHeight="1">
      <c r="C207" s="1017"/>
      <c r="D207" s="1030"/>
      <c r="E207" s="427" t="s">
        <v>539</v>
      </c>
      <c r="F207" s="288"/>
      <c r="G207" s="338"/>
      <c r="H207" s="339">
        <v>5.5</v>
      </c>
      <c r="I207" s="339">
        <v>7.4</v>
      </c>
      <c r="J207" s="403">
        <f t="shared" si="75"/>
        <v>1.4060000000000001</v>
      </c>
      <c r="K207" s="342" t="s">
        <v>233</v>
      </c>
      <c r="L207" s="322">
        <f t="shared" si="76"/>
      </c>
      <c r="M207" s="288"/>
      <c r="N207" s="322">
        <f>IF(Q207="","",1155)</f>
      </c>
      <c r="Q207" s="334"/>
      <c r="S207" s="324" t="s">
        <v>240</v>
      </c>
      <c r="U207" s="343">
        <f t="shared" si="77"/>
      </c>
      <c r="V207" s="338"/>
      <c r="W207" s="344">
        <f t="shared" si="78"/>
      </c>
      <c r="X207" s="344">
        <f t="shared" si="79"/>
      </c>
      <c r="Y207" s="338"/>
      <c r="Z207" s="344">
        <f t="shared" si="80"/>
      </c>
      <c r="AA207" s="322">
        <f t="shared" si="81"/>
      </c>
      <c r="AE207" s="243">
        <f>IF(Q207&lt;1,0,910)</f>
        <v>0</v>
      </c>
    </row>
    <row r="208" spans="3:31" ht="12.75" customHeight="1">
      <c r="C208" s="1017"/>
      <c r="D208" s="1030"/>
      <c r="E208" s="427" t="s">
        <v>540</v>
      </c>
      <c r="F208" s="288"/>
      <c r="G208" s="338"/>
      <c r="H208" s="339">
        <v>6.5</v>
      </c>
      <c r="I208" s="339">
        <v>8.7</v>
      </c>
      <c r="J208" s="403">
        <f t="shared" si="75"/>
        <v>1.6529999999999998</v>
      </c>
      <c r="K208" s="342" t="s">
        <v>233</v>
      </c>
      <c r="L208" s="322">
        <f t="shared" si="76"/>
      </c>
      <c r="M208" s="288"/>
      <c r="N208" s="322">
        <f>IF(Q208="","",1365)</f>
      </c>
      <c r="Q208" s="334"/>
      <c r="S208" s="324" t="s">
        <v>240</v>
      </c>
      <c r="U208" s="343">
        <f t="shared" si="77"/>
      </c>
      <c r="V208" s="338"/>
      <c r="W208" s="344">
        <f t="shared" si="78"/>
      </c>
      <c r="X208" s="344">
        <f t="shared" si="79"/>
      </c>
      <c r="Y208" s="338"/>
      <c r="Z208" s="344">
        <f t="shared" si="80"/>
      </c>
      <c r="AA208" s="322">
        <f t="shared" si="81"/>
      </c>
      <c r="AE208" s="243">
        <f>IF(Q208&lt;1,0,1080)</f>
        <v>0</v>
      </c>
    </row>
    <row r="209" spans="3:31" ht="12.75" customHeight="1">
      <c r="C209" s="1017"/>
      <c r="D209" s="1030"/>
      <c r="E209" s="427" t="s">
        <v>541</v>
      </c>
      <c r="F209" s="288"/>
      <c r="G209" s="338"/>
      <c r="H209" s="339">
        <v>7.5</v>
      </c>
      <c r="I209" s="339">
        <v>10</v>
      </c>
      <c r="J209" s="403">
        <f t="shared" si="75"/>
        <v>1.9</v>
      </c>
      <c r="K209" s="342" t="s">
        <v>233</v>
      </c>
      <c r="L209" s="322">
        <f t="shared" si="76"/>
      </c>
      <c r="M209" s="288"/>
      <c r="N209" s="322">
        <f>IF(Q209="","",1575)</f>
      </c>
      <c r="Q209" s="334"/>
      <c r="S209" s="324" t="s">
        <v>240</v>
      </c>
      <c r="U209" s="343">
        <f t="shared" si="77"/>
      </c>
      <c r="V209" s="338"/>
      <c r="W209" s="344">
        <f t="shared" si="78"/>
      </c>
      <c r="X209" s="344">
        <f t="shared" si="79"/>
      </c>
      <c r="Y209" s="338"/>
      <c r="Z209" s="344">
        <f t="shared" si="80"/>
      </c>
      <c r="AA209" s="322">
        <f t="shared" si="81"/>
      </c>
      <c r="AE209" s="243">
        <f>IF(Q209&lt;1,0,1240)</f>
        <v>0</v>
      </c>
    </row>
    <row r="210" spans="3:31" ht="12.75" customHeight="1">
      <c r="C210" s="1017"/>
      <c r="D210" s="1030"/>
      <c r="E210" s="427" t="s">
        <v>542</v>
      </c>
      <c r="F210" s="288"/>
      <c r="G210" s="338"/>
      <c r="H210" s="339">
        <v>8.5</v>
      </c>
      <c r="I210" s="339">
        <v>11.3</v>
      </c>
      <c r="J210" s="403">
        <f t="shared" si="75"/>
        <v>2.1470000000000002</v>
      </c>
      <c r="K210" s="342" t="s">
        <v>233</v>
      </c>
      <c r="L210" s="322">
        <f t="shared" si="76"/>
      </c>
      <c r="M210" s="288"/>
      <c r="N210" s="322">
        <f>IF(Q210="","",1785)</f>
      </c>
      <c r="Q210" s="334"/>
      <c r="S210" s="324" t="s">
        <v>240</v>
      </c>
      <c r="U210" s="343">
        <f t="shared" si="77"/>
      </c>
      <c r="V210" s="338"/>
      <c r="W210" s="344">
        <f t="shared" si="78"/>
      </c>
      <c r="X210" s="344">
        <f t="shared" si="79"/>
      </c>
      <c r="Y210" s="338"/>
      <c r="Z210" s="344">
        <f t="shared" si="80"/>
      </c>
      <c r="AA210" s="322">
        <f t="shared" si="81"/>
      </c>
      <c r="AE210" s="243">
        <f>IF(Q210&lt;1,0,1410)</f>
        <v>0</v>
      </c>
    </row>
    <row r="211" spans="3:31" ht="12.75" customHeight="1">
      <c r="C211" s="1017"/>
      <c r="D211" s="1030"/>
      <c r="E211" s="427" t="s">
        <v>543</v>
      </c>
      <c r="F211" s="415"/>
      <c r="G211" s="416"/>
      <c r="H211" s="417">
        <v>9.5</v>
      </c>
      <c r="I211" s="417">
        <v>12.7</v>
      </c>
      <c r="J211" s="441">
        <f t="shared" si="75"/>
        <v>2.413</v>
      </c>
      <c r="K211" s="419" t="s">
        <v>233</v>
      </c>
      <c r="L211" s="420">
        <f t="shared" si="76"/>
      </c>
      <c r="M211" s="415"/>
      <c r="N211" s="322">
        <f>IF(Q211="","",1995)</f>
      </c>
      <c r="Q211" s="334"/>
      <c r="S211" s="324" t="s">
        <v>240</v>
      </c>
      <c r="U211" s="422">
        <f t="shared" si="77"/>
      </c>
      <c r="V211" s="416"/>
      <c r="W211" s="423">
        <f t="shared" si="78"/>
      </c>
      <c r="X211" s="423">
        <f t="shared" si="79"/>
      </c>
      <c r="Y211" s="416"/>
      <c r="Z211" s="423">
        <f t="shared" si="80"/>
      </c>
      <c r="AA211" s="420">
        <f t="shared" si="81"/>
      </c>
      <c r="AE211" s="243">
        <f>IF(Q211&lt;1,0,1570)</f>
        <v>0</v>
      </c>
    </row>
    <row r="212" spans="17:31" ht="12.75" customHeight="1">
      <c r="Q212" s="323"/>
      <c r="S212" s="324"/>
      <c r="U212" s="245">
        <f>SUM(U203:U211)</f>
        <v>0</v>
      </c>
      <c r="Z212" s="246">
        <f>SUM(Z203:Z211)</f>
        <v>0</v>
      </c>
      <c r="AE212" s="243">
        <f>SUM(AE203:AE211)</f>
        <v>0</v>
      </c>
    </row>
    <row r="213" spans="3:31" ht="19.5" customHeight="1">
      <c r="C213" s="375" t="s">
        <v>263</v>
      </c>
      <c r="D213" s="431" t="s">
        <v>183</v>
      </c>
      <c r="Q213" s="405"/>
      <c r="S213" s="324">
        <f>SUM(Q192:Q211)</f>
        <v>0</v>
      </c>
      <c r="U213" s="245">
        <f>U201+U212</f>
        <v>0</v>
      </c>
      <c r="W213" s="246">
        <f>X213*1/afa</f>
        <v>0</v>
      </c>
      <c r="X213" s="246">
        <f>ROUNDUP(afa*Z213*euro,-4)</f>
        <v>0</v>
      </c>
      <c r="Z213" s="246">
        <f>Z201+Z212</f>
        <v>0</v>
      </c>
      <c r="AA213" s="243">
        <f>Z213*afa</f>
        <v>0</v>
      </c>
      <c r="AB213" s="242" t="s">
        <v>229</v>
      </c>
      <c r="AE213" s="243">
        <f>AE201+AE212</f>
        <v>0</v>
      </c>
    </row>
    <row r="214" spans="17:19" ht="12.75" customHeight="1">
      <c r="Q214" s="405"/>
      <c r="S214" s="324"/>
    </row>
    <row r="215" spans="3:32" ht="3.75" customHeight="1">
      <c r="C215" s="277"/>
      <c r="D215" s="278"/>
      <c r="E215" s="278"/>
      <c r="F215" s="278"/>
      <c r="G215" s="279"/>
      <c r="H215" s="278"/>
      <c r="I215" s="278"/>
      <c r="J215" s="278"/>
      <c r="K215" s="280"/>
      <c r="L215" s="281"/>
      <c r="M215" s="278"/>
      <c r="N215" s="281"/>
      <c r="O215" s="278"/>
      <c r="P215" s="282"/>
      <c r="Q215" s="283"/>
      <c r="R215" s="284"/>
      <c r="S215" s="285"/>
      <c r="T215" s="278"/>
      <c r="U215" s="286"/>
      <c r="V215" s="279"/>
      <c r="W215" s="287"/>
      <c r="X215" s="287"/>
      <c r="Y215" s="279"/>
      <c r="Z215" s="287"/>
      <c r="AA215" s="281"/>
      <c r="AB215" s="279"/>
      <c r="AC215" s="278"/>
      <c r="AD215" s="278"/>
      <c r="AE215" s="281"/>
      <c r="AF215" s="278"/>
    </row>
    <row r="216" spans="3:19" ht="12.75" customHeight="1">
      <c r="C216" s="241" t="s">
        <v>243</v>
      </c>
      <c r="E216" s="432" t="s">
        <v>521</v>
      </c>
      <c r="L216" s="1009" t="s">
        <v>711</v>
      </c>
      <c r="M216" s="1009"/>
      <c r="N216" s="376"/>
      <c r="Q216" s="405"/>
      <c r="S216" s="324"/>
    </row>
    <row r="217" spans="1:31" s="305" customFormat="1" ht="41.25" customHeight="1">
      <c r="A217" s="304"/>
      <c r="C217" s="377" t="s">
        <v>518</v>
      </c>
      <c r="E217" s="307" t="s">
        <v>695</v>
      </c>
      <c r="F217" s="308" t="s">
        <v>224</v>
      </c>
      <c r="G217" s="309"/>
      <c r="H217" s="309" t="s">
        <v>225</v>
      </c>
      <c r="I217" s="308" t="s">
        <v>226</v>
      </c>
      <c r="J217" s="310" t="s">
        <v>167</v>
      </c>
      <c r="K217" s="309"/>
      <c r="L217" s="311" t="s">
        <v>249</v>
      </c>
      <c r="M217" s="309"/>
      <c r="N217" s="312" t="s">
        <v>250</v>
      </c>
      <c r="O217" s="309"/>
      <c r="P217" s="313"/>
      <c r="Q217" s="379"/>
      <c r="R217" s="315" t="s">
        <v>165</v>
      </c>
      <c r="S217" s="315"/>
      <c r="T217" s="308"/>
      <c r="U217" s="317" t="s">
        <v>228</v>
      </c>
      <c r="V217" s="309" t="s">
        <v>233</v>
      </c>
      <c r="W217" s="318" t="s">
        <v>441</v>
      </c>
      <c r="X217" s="318" t="s">
        <v>441</v>
      </c>
      <c r="Y217" s="309"/>
      <c r="Z217" s="318" t="s">
        <v>166</v>
      </c>
      <c r="AA217" s="319" t="s">
        <v>166</v>
      </c>
      <c r="AB217" s="309" t="s">
        <v>229</v>
      </c>
      <c r="AC217" s="309"/>
      <c r="AD217" s="309"/>
      <c r="AE217" s="312" t="s">
        <v>230</v>
      </c>
    </row>
    <row r="218" spans="5:31" ht="12.75" customHeight="1">
      <c r="E218" s="446" t="s">
        <v>188</v>
      </c>
      <c r="F218" s="240" t="s">
        <v>270</v>
      </c>
      <c r="I218" s="240" t="s">
        <v>231</v>
      </c>
      <c r="J218" s="240" t="s">
        <v>232</v>
      </c>
      <c r="Q218" s="323"/>
      <c r="S218" s="324"/>
      <c r="U218" s="245" t="s">
        <v>233</v>
      </c>
      <c r="W218" s="246" t="s">
        <v>234</v>
      </c>
      <c r="X218" s="246" t="s">
        <v>235</v>
      </c>
      <c r="Z218" s="246" t="s">
        <v>234</v>
      </c>
      <c r="AA218" s="243" t="s">
        <v>237</v>
      </c>
      <c r="AE218" s="309" t="s">
        <v>238</v>
      </c>
    </row>
    <row r="219" spans="3:31" ht="12.75" customHeight="1">
      <c r="C219" s="1016" t="s">
        <v>520</v>
      </c>
      <c r="D219" s="240" t="s">
        <v>264</v>
      </c>
      <c r="E219" s="427" t="s">
        <v>564</v>
      </c>
      <c r="F219" s="327">
        <v>1.48</v>
      </c>
      <c r="G219" s="328" t="s">
        <v>239</v>
      </c>
      <c r="H219" s="327">
        <v>1</v>
      </c>
      <c r="I219" s="440">
        <v>1.72</v>
      </c>
      <c r="J219" s="440">
        <f>F219*I219</f>
        <v>2.5456</v>
      </c>
      <c r="K219" s="332" t="s">
        <v>233</v>
      </c>
      <c r="L219" s="333">
        <f>IF(Q219="","",N219*1/afa)</f>
      </c>
      <c r="M219" s="327"/>
      <c r="N219" s="322">
        <f>IF(Q219=0,"",338*J219)</f>
      </c>
      <c r="Q219" s="334"/>
      <c r="S219" s="324" t="s">
        <v>240</v>
      </c>
      <c r="U219" s="335">
        <f>IF(Q219="","",J219*Q219)</f>
      </c>
      <c r="V219" s="328"/>
      <c r="W219" s="336">
        <f>IF(X219="","",X219*1/afa)</f>
      </c>
      <c r="X219" s="336">
        <f>IF(Q219=0,"",ROUNDUP(AA219*euro,-3))</f>
      </c>
      <c r="Y219" s="328"/>
      <c r="Z219" s="336">
        <f>IF(Q219="","",L219*Q219)</f>
      </c>
      <c r="AA219" s="333">
        <f>IF(Q219="","",Z219*afa)</f>
      </c>
      <c r="AB219" s="242" t="s">
        <v>229</v>
      </c>
      <c r="AE219" s="243">
        <f>IF(Q219&lt;1,0,235)</f>
        <v>0</v>
      </c>
    </row>
    <row r="220" spans="3:31" ht="12.75" customHeight="1">
      <c r="C220" s="1016"/>
      <c r="E220" s="320" t="s">
        <v>551</v>
      </c>
      <c r="F220" s="288"/>
      <c r="G220" s="338"/>
      <c r="H220" s="288">
        <v>0</v>
      </c>
      <c r="I220" s="288">
        <v>0</v>
      </c>
      <c r="J220" s="288">
        <f>F219*I220</f>
        <v>0</v>
      </c>
      <c r="K220" s="342" t="s">
        <v>233</v>
      </c>
      <c r="L220" s="322">
        <f>IF(Q220="","",N220*1/afa)</f>
      </c>
      <c r="M220" s="288"/>
      <c r="N220" s="322">
        <f>IF(Q220="","",194)</f>
      </c>
      <c r="Q220" s="334"/>
      <c r="S220" s="324" t="s">
        <v>240</v>
      </c>
      <c r="U220" s="343">
        <f>IF(Q220="","",J220*Q220)</f>
      </c>
      <c r="V220" s="338"/>
      <c r="W220" s="344">
        <f>IF(X220="","",X220*1/afa)</f>
      </c>
      <c r="X220" s="344">
        <f>IF(Q220=0,"",ROUNDUP(AA220*euro,-3))</f>
      </c>
      <c r="Y220" s="338"/>
      <c r="Z220" s="344">
        <f>IF(Q220="","",L220*Q220)</f>
      </c>
      <c r="AA220" s="322">
        <f>IF(Q220="","",Z220*afa)</f>
      </c>
      <c r="AE220" s="243">
        <f>IF(Q220&lt;1,0,354)</f>
        <v>0</v>
      </c>
    </row>
    <row r="221" spans="3:31" ht="12.75" customHeight="1">
      <c r="C221" s="1016"/>
      <c r="E221" s="380" t="s">
        <v>277</v>
      </c>
      <c r="F221" s="415"/>
      <c r="G221" s="416"/>
      <c r="H221" s="415">
        <v>0</v>
      </c>
      <c r="I221" s="415">
        <v>0</v>
      </c>
      <c r="J221" s="415">
        <f>F219*I221</f>
        <v>0</v>
      </c>
      <c r="K221" s="419" t="s">
        <v>233</v>
      </c>
      <c r="L221" s="420">
        <f>IF(Q221="","",N221*1/afa)</f>
      </c>
      <c r="M221" s="415"/>
      <c r="N221" s="447" t="s">
        <v>266</v>
      </c>
      <c r="Q221" s="334"/>
      <c r="S221" s="324" t="s">
        <v>240</v>
      </c>
      <c r="U221" s="422">
        <f>IF(Q221="","",J221*Q221)</f>
      </c>
      <c r="V221" s="416"/>
      <c r="W221" s="423">
        <f>IF(X221="","",X221*1/afa)</f>
      </c>
      <c r="X221" s="423">
        <f>IF(Q221=0,"",ROUNDUP(AA221*euro,-3))</f>
      </c>
      <c r="Y221" s="416"/>
      <c r="Z221" s="423">
        <f>IF(Q221="","",L221*Q221)</f>
      </c>
      <c r="AA221" s="420">
        <f>IF(Q221="","",Z221*afa)</f>
      </c>
      <c r="AE221" s="243">
        <f>IF(Q221&lt;1,0,472)</f>
        <v>0</v>
      </c>
    </row>
    <row r="222" spans="3:19" ht="0" customHeight="1" hidden="1">
      <c r="C222" s="1016"/>
      <c r="E222" s="446" t="s">
        <v>188</v>
      </c>
      <c r="P222" s="448"/>
      <c r="Q222" s="323"/>
      <c r="S222" s="324"/>
    </row>
    <row r="223" spans="3:31" ht="0" customHeight="1" hidden="1">
      <c r="C223" s="1016"/>
      <c r="D223" s="240" t="s">
        <v>265</v>
      </c>
      <c r="E223" s="427" t="s">
        <v>547</v>
      </c>
      <c r="F223" s="327">
        <v>0.91</v>
      </c>
      <c r="G223" s="328" t="s">
        <v>239</v>
      </c>
      <c r="H223" s="327">
        <v>1</v>
      </c>
      <c r="I223" s="327">
        <v>1.84</v>
      </c>
      <c r="J223" s="327">
        <v>1.7</v>
      </c>
      <c r="K223" s="332" t="s">
        <v>233</v>
      </c>
      <c r="L223" s="333">
        <f>IF(Q223="","",N223*1/afa)</f>
      </c>
      <c r="M223" s="327"/>
      <c r="N223" s="447" t="s">
        <v>266</v>
      </c>
      <c r="Q223" s="334"/>
      <c r="S223" s="324"/>
      <c r="U223" s="335">
        <f>IF(Q223="","",J223*Q223)</f>
      </c>
      <c r="V223" s="328"/>
      <c r="W223" s="336">
        <f>IF(X223="","",X223*1/afa)</f>
      </c>
      <c r="X223" s="336">
        <f>IF(Q223=0,"",ROUNDUP(AA223*euro,-3))</f>
      </c>
      <c r="Y223" s="328"/>
      <c r="Z223" s="336">
        <f>IF(Q223="","",L223*Q223)</f>
      </c>
      <c r="AA223" s="333">
        <f>IF(Q223="","",Z223*afa)</f>
      </c>
      <c r="AE223" s="243">
        <f>IF(Q223&lt;1,0,314)</f>
        <v>0</v>
      </c>
    </row>
    <row r="224" spans="3:31" ht="0" customHeight="1" hidden="1">
      <c r="C224" s="1016"/>
      <c r="E224" s="320" t="s">
        <v>548</v>
      </c>
      <c r="F224" s="288"/>
      <c r="G224" s="338"/>
      <c r="H224" s="288">
        <v>1</v>
      </c>
      <c r="I224" s="288">
        <v>1.84</v>
      </c>
      <c r="J224" s="288">
        <v>1.7</v>
      </c>
      <c r="K224" s="342" t="s">
        <v>233</v>
      </c>
      <c r="L224" s="322">
        <f>IF(Q224="","",N224*1/afa)</f>
      </c>
      <c r="M224" s="288"/>
      <c r="N224" s="447" t="s">
        <v>266</v>
      </c>
      <c r="Q224" s="334"/>
      <c r="S224" s="324"/>
      <c r="U224" s="343">
        <f>IF(Q224="","",J224*Q224)</f>
      </c>
      <c r="V224" s="338"/>
      <c r="W224" s="344">
        <f>IF(X224="","",X224*1/afa)</f>
      </c>
      <c r="X224" s="344">
        <f>IF(Q224=0,"",ROUNDUP(AA224*euro,-3))</f>
      </c>
      <c r="Y224" s="338"/>
      <c r="Z224" s="344">
        <f>IF(Q224="","",L224*Q224)</f>
      </c>
      <c r="AA224" s="322">
        <f>IF(Q224="","",Z224*afa)</f>
      </c>
      <c r="AE224" s="243">
        <f>IF(Q224&lt;1,0,433)</f>
        <v>0</v>
      </c>
    </row>
    <row r="225" spans="3:31" ht="0" customHeight="1" hidden="1">
      <c r="C225" s="1016"/>
      <c r="E225" s="380" t="s">
        <v>549</v>
      </c>
      <c r="F225" s="415"/>
      <c r="G225" s="416"/>
      <c r="H225" s="415">
        <v>1</v>
      </c>
      <c r="I225" s="415">
        <v>1.84</v>
      </c>
      <c r="J225" s="415">
        <v>1.7</v>
      </c>
      <c r="K225" s="419" t="s">
        <v>233</v>
      </c>
      <c r="L225" s="420">
        <f>IF(Q225="","",N225*1/afa)</f>
      </c>
      <c r="M225" s="415"/>
      <c r="N225" s="447" t="s">
        <v>266</v>
      </c>
      <c r="Q225" s="334"/>
      <c r="S225" s="324"/>
      <c r="U225" s="422">
        <f>IF(Q225="","",J225*Q225)</f>
      </c>
      <c r="V225" s="416"/>
      <c r="W225" s="423">
        <f>IF(X225="","",X225*1/afa)</f>
      </c>
      <c r="X225" s="423">
        <f>IF(Q225=0,"",ROUNDUP(AA225*euro,-3))</f>
      </c>
      <c r="Y225" s="416"/>
      <c r="Z225" s="423">
        <f>IF(Q225="","",L225*Q225)</f>
      </c>
      <c r="AA225" s="420">
        <f>IF(Q225="","",Z225*afa)</f>
      </c>
      <c r="AE225" s="243">
        <f>IF(Q225&lt;1,0,541)</f>
        <v>0</v>
      </c>
    </row>
    <row r="226" spans="3:19" ht="0" customHeight="1" hidden="1">
      <c r="C226" s="1016"/>
      <c r="E226" s="446" t="s">
        <v>188</v>
      </c>
      <c r="Q226" s="323"/>
      <c r="S226" s="324"/>
    </row>
    <row r="227" spans="3:31" ht="0" customHeight="1" hidden="1">
      <c r="C227" s="1016"/>
      <c r="D227" s="240" t="s">
        <v>266</v>
      </c>
      <c r="E227" s="427" t="s">
        <v>550</v>
      </c>
      <c r="F227" s="327">
        <v>0.91</v>
      </c>
      <c r="G227" s="328" t="s">
        <v>239</v>
      </c>
      <c r="H227" s="327">
        <v>1</v>
      </c>
      <c r="I227" s="327">
        <v>1.84</v>
      </c>
      <c r="J227" s="327">
        <v>1.7</v>
      </c>
      <c r="K227" s="332" t="s">
        <v>233</v>
      </c>
      <c r="L227" s="333">
        <f>IF(Q227="","",N227*1/afa)</f>
      </c>
      <c r="M227" s="327"/>
      <c r="N227" s="447" t="s">
        <v>266</v>
      </c>
      <c r="Q227" s="334"/>
      <c r="S227" s="324" t="s">
        <v>240</v>
      </c>
      <c r="U227" s="335">
        <f>IF(Q227="","",J227*Q227)</f>
      </c>
      <c r="V227" s="328"/>
      <c r="W227" s="336">
        <f>IF(X227="","",X227*1/afa)</f>
      </c>
      <c r="X227" s="336">
        <f>IF(Q227=0,"",ROUNDUP(AA227*euro,-3))</f>
      </c>
      <c r="Y227" s="328"/>
      <c r="Z227" s="336">
        <f>IF(Q227="","",L227*Q227)</f>
      </c>
      <c r="AA227" s="333">
        <f>IF(Q227="","",Z227*afa)</f>
      </c>
      <c r="AE227" s="243">
        <f>IF(Q227&lt;1,0,0)</f>
        <v>0</v>
      </c>
    </row>
    <row r="228" spans="3:31" ht="0" customHeight="1" hidden="1">
      <c r="C228" s="1016"/>
      <c r="E228" s="320" t="s">
        <v>267</v>
      </c>
      <c r="F228" s="288"/>
      <c r="G228" s="338"/>
      <c r="H228" s="288">
        <v>1</v>
      </c>
      <c r="I228" s="288">
        <v>1.84</v>
      </c>
      <c r="J228" s="288">
        <v>1.4</v>
      </c>
      <c r="K228" s="342" t="s">
        <v>233</v>
      </c>
      <c r="L228" s="322">
        <f>IF(Q228="","",N228*1/afa)</f>
      </c>
      <c r="M228" s="288"/>
      <c r="N228" s="447" t="s">
        <v>266</v>
      </c>
      <c r="Q228" s="334"/>
      <c r="S228" s="324" t="s">
        <v>240</v>
      </c>
      <c r="U228" s="343">
        <f>IF(Q228="","",J228*Q228)</f>
      </c>
      <c r="V228" s="338"/>
      <c r="W228" s="344">
        <f>IF(X228="","",X228*1/afa)</f>
      </c>
      <c r="X228" s="344">
        <f>IF(Q228=0,"",ROUNDUP(AA228*euro,-3))</f>
      </c>
      <c r="Y228" s="338"/>
      <c r="Z228" s="344">
        <f>IF(Q228="","",L228*Q228)</f>
      </c>
      <c r="AA228" s="322">
        <f>IF(Q228="","",Z228*afa)</f>
      </c>
      <c r="AE228" s="243">
        <f>IF(Q228&lt;1,0,0)</f>
        <v>0</v>
      </c>
    </row>
    <row r="229" spans="3:31" ht="0" customHeight="1" hidden="1">
      <c r="C229" s="1016"/>
      <c r="E229" s="380" t="s">
        <v>268</v>
      </c>
      <c r="F229" s="415"/>
      <c r="G229" s="416"/>
      <c r="H229" s="415">
        <v>1</v>
      </c>
      <c r="I229" s="415">
        <v>1.84</v>
      </c>
      <c r="J229" s="415">
        <v>1.7</v>
      </c>
      <c r="K229" s="419" t="s">
        <v>233</v>
      </c>
      <c r="L229" s="420">
        <f>IF(Q229="","",N229*1/afa)</f>
      </c>
      <c r="M229" s="415"/>
      <c r="N229" s="447" t="s">
        <v>266</v>
      </c>
      <c r="Q229" s="334"/>
      <c r="S229" s="324" t="s">
        <v>240</v>
      </c>
      <c r="U229" s="422">
        <f>IF(Q229="","",J229*Q229)</f>
      </c>
      <c r="V229" s="416"/>
      <c r="W229" s="423">
        <f>IF(X229="","",X229*1/afa)</f>
      </c>
      <c r="X229" s="423">
        <f>IF(Q229=0,"",ROUNDUP(AA229*euro,-3))</f>
      </c>
      <c r="Y229" s="416"/>
      <c r="Z229" s="423">
        <f>IF(Q229="","",L229*Q229)</f>
      </c>
      <c r="AA229" s="420">
        <f>IF(Q229="","",Z229*afa)</f>
      </c>
      <c r="AE229" s="243">
        <f>IF(Q229&lt;1,0,0)</f>
        <v>0</v>
      </c>
    </row>
    <row r="230" spans="3:31" ht="19.5" customHeight="1">
      <c r="C230" s="375" t="s">
        <v>269</v>
      </c>
      <c r="D230" s="431" t="s">
        <v>182</v>
      </c>
      <c r="Q230" s="323"/>
      <c r="R230" s="1061" t="s">
        <v>227</v>
      </c>
      <c r="S230" s="324">
        <f>SUM(Q219:Q229)</f>
        <v>0</v>
      </c>
      <c r="U230" s="245">
        <f>SUM(U219:U229)</f>
        <v>0</v>
      </c>
      <c r="W230" s="246">
        <f>X230*1/afa</f>
        <v>0</v>
      </c>
      <c r="X230" s="246">
        <f>ROUNDUP(afa*Z230*euro,-4)</f>
        <v>0</v>
      </c>
      <c r="Z230" s="246">
        <f>SUM(Z219:Z229)</f>
        <v>0</v>
      </c>
      <c r="AA230" s="243">
        <f>Z230*afa</f>
        <v>0</v>
      </c>
      <c r="AB230" s="242" t="s">
        <v>229</v>
      </c>
      <c r="AE230" s="243">
        <f>SUM(AE219:AE229)</f>
        <v>0</v>
      </c>
    </row>
    <row r="231" spans="4:31" ht="0" customHeight="1" hidden="1">
      <c r="D231" s="449"/>
      <c r="E231" s="450" t="s">
        <v>110</v>
      </c>
      <c r="F231" s="449"/>
      <c r="G231" s="451"/>
      <c r="H231" s="449"/>
      <c r="I231" s="449"/>
      <c r="J231" s="449"/>
      <c r="K231" s="452"/>
      <c r="L231" s="1115" t="s">
        <v>579</v>
      </c>
      <c r="M231" s="1115"/>
      <c r="N231" s="453"/>
      <c r="O231" s="449"/>
      <c r="P231" s="454"/>
      <c r="Q231" s="455"/>
      <c r="R231" s="1061"/>
      <c r="S231" s="324"/>
      <c r="T231" s="449"/>
      <c r="U231" s="456"/>
      <c r="V231" s="451"/>
      <c r="W231" s="457"/>
      <c r="X231" s="457"/>
      <c r="Y231" s="451"/>
      <c r="Z231" s="457"/>
      <c r="AA231" s="458"/>
      <c r="AB231" s="451"/>
      <c r="AC231" s="449"/>
      <c r="AD231" s="449"/>
      <c r="AE231" s="458"/>
    </row>
    <row r="232" spans="3:31" ht="0" customHeight="1" hidden="1">
      <c r="C232" s="1097" t="s">
        <v>532</v>
      </c>
      <c r="D232" s="449" t="s">
        <v>156</v>
      </c>
      <c r="E232" s="449"/>
      <c r="F232" s="459" t="s">
        <v>224</v>
      </c>
      <c r="G232" s="451"/>
      <c r="H232" s="459" t="s">
        <v>225</v>
      </c>
      <c r="I232" s="459" t="s">
        <v>226</v>
      </c>
      <c r="J232" s="449" t="s">
        <v>190</v>
      </c>
      <c r="K232" s="452"/>
      <c r="L232" s="458" t="s">
        <v>249</v>
      </c>
      <c r="M232" s="449"/>
      <c r="N232" s="458" t="s">
        <v>250</v>
      </c>
      <c r="O232" s="449"/>
      <c r="P232" s="454"/>
      <c r="Q232" s="455"/>
      <c r="R232" s="1061"/>
      <c r="S232" s="324"/>
      <c r="T232" s="449"/>
      <c r="U232" s="456" t="s">
        <v>228</v>
      </c>
      <c r="V232" s="451" t="s">
        <v>233</v>
      </c>
      <c r="W232" s="457" t="s">
        <v>150</v>
      </c>
      <c r="X232" s="457" t="s">
        <v>150</v>
      </c>
      <c r="Y232" s="451"/>
      <c r="Z232" s="457" t="s">
        <v>151</v>
      </c>
      <c r="AA232" s="458" t="s">
        <v>152</v>
      </c>
      <c r="AB232" s="451" t="s">
        <v>229</v>
      </c>
      <c r="AC232" s="449"/>
      <c r="AD232" s="449"/>
      <c r="AE232" s="460" t="s">
        <v>230</v>
      </c>
    </row>
    <row r="233" spans="3:31" ht="0" customHeight="1" hidden="1">
      <c r="C233" s="1097"/>
      <c r="D233" s="449"/>
      <c r="E233" s="449"/>
      <c r="F233" s="449" t="s">
        <v>270</v>
      </c>
      <c r="G233" s="451"/>
      <c r="H233" s="449"/>
      <c r="I233" s="449" t="s">
        <v>271</v>
      </c>
      <c r="J233" s="449" t="s">
        <v>232</v>
      </c>
      <c r="K233" s="452"/>
      <c r="L233" s="458"/>
      <c r="M233" s="449"/>
      <c r="N233" s="458"/>
      <c r="O233" s="449"/>
      <c r="P233" s="454"/>
      <c r="Q233" s="461"/>
      <c r="S233" s="324"/>
      <c r="T233" s="449"/>
      <c r="U233" s="456" t="s">
        <v>233</v>
      </c>
      <c r="V233" s="451"/>
      <c r="W233" s="457" t="s">
        <v>234</v>
      </c>
      <c r="X233" s="457" t="s">
        <v>235</v>
      </c>
      <c r="Y233" s="451"/>
      <c r="Z233" s="457" t="s">
        <v>234</v>
      </c>
      <c r="AA233" s="458" t="s">
        <v>237</v>
      </c>
      <c r="AB233" s="451"/>
      <c r="AC233" s="449"/>
      <c r="AD233" s="449"/>
      <c r="AE233" s="462" t="s">
        <v>238</v>
      </c>
    </row>
    <row r="234" spans="3:31" ht="0" customHeight="1" hidden="1">
      <c r="C234" s="1097"/>
      <c r="D234" s="1134" t="s">
        <v>272</v>
      </c>
      <c r="E234" s="463" t="s">
        <v>111</v>
      </c>
      <c r="F234" s="464">
        <v>1.28</v>
      </c>
      <c r="G234" s="465" t="s">
        <v>239</v>
      </c>
      <c r="H234" s="464">
        <v>1</v>
      </c>
      <c r="I234" s="464">
        <v>1.72</v>
      </c>
      <c r="J234" s="466">
        <f>F234*I234</f>
        <v>2.2016</v>
      </c>
      <c r="K234" s="467" t="s">
        <v>233</v>
      </c>
      <c r="L234" s="468">
        <f>IF(Q234="","",N234*1/afa)</f>
      </c>
      <c r="M234" s="464"/>
      <c r="N234" s="468">
        <f>(Q234*J234)*327</f>
        <v>0</v>
      </c>
      <c r="O234" s="449"/>
      <c r="P234" s="454"/>
      <c r="Q234" s="469"/>
      <c r="S234" s="324" t="s">
        <v>240</v>
      </c>
      <c r="T234" s="449"/>
      <c r="U234" s="470">
        <f>IF(Q234="","",J234*Q234)</f>
      </c>
      <c r="V234" s="465"/>
      <c r="W234" s="471">
        <f>IF(X234="","",X234*1/afa)</f>
      </c>
      <c r="X234" s="471">
        <f>IF(Q234=0,"",ROUNDUP(AA234*euro,-3))</f>
      </c>
      <c r="Y234" s="465"/>
      <c r="Z234" s="471">
        <f>IF(Q234="","",L234*Q234)</f>
      </c>
      <c r="AA234" s="468">
        <f>IF(Q234="","",Z234*afa)</f>
      </c>
      <c r="AB234" s="451" t="s">
        <v>229</v>
      </c>
      <c r="AC234" s="449"/>
      <c r="AD234" s="449"/>
      <c r="AE234" s="458">
        <f>IF(Q234&lt;1,0,185)</f>
        <v>0</v>
      </c>
    </row>
    <row r="235" spans="3:31" ht="0" customHeight="1" hidden="1">
      <c r="C235" s="1097"/>
      <c r="D235" s="1134"/>
      <c r="E235" s="472" t="s">
        <v>112</v>
      </c>
      <c r="F235" s="473">
        <v>1.28</v>
      </c>
      <c r="G235" s="474"/>
      <c r="H235" s="473">
        <v>1</v>
      </c>
      <c r="I235" s="473">
        <v>0.46</v>
      </c>
      <c r="J235" s="475">
        <f>F235*I235</f>
        <v>0.5888</v>
      </c>
      <c r="K235" s="476" t="s">
        <v>233</v>
      </c>
      <c r="L235" s="477">
        <f>IF(Q235="","",N235*1/afa)</f>
      </c>
      <c r="M235" s="473"/>
      <c r="N235" s="477">
        <v>399</v>
      </c>
      <c r="O235" s="449"/>
      <c r="P235" s="454"/>
      <c r="Q235" s="469"/>
      <c r="S235" s="324" t="s">
        <v>240</v>
      </c>
      <c r="T235" s="449"/>
      <c r="U235" s="478">
        <f>IF(Q235="","",J235*Q235)</f>
      </c>
      <c r="V235" s="474"/>
      <c r="W235" s="479">
        <f>IF(X235="","",X235*1/afa)</f>
      </c>
      <c r="X235" s="479">
        <f>IF(Q235=0,"",ROUNDUP(AA235*euro,-3))</f>
      </c>
      <c r="Y235" s="474"/>
      <c r="Z235" s="479">
        <f>IF(Q235="","",L235*Q235)</f>
      </c>
      <c r="AA235" s="477">
        <f>IF(Q235="","",Z235*afa)</f>
      </c>
      <c r="AB235" s="451"/>
      <c r="AC235" s="449"/>
      <c r="AD235" s="449"/>
      <c r="AE235" s="458">
        <f>IF(Q235&lt;1,0,244)</f>
        <v>0</v>
      </c>
    </row>
    <row r="236" spans="3:31" ht="0" customHeight="1" hidden="1">
      <c r="C236" s="1097"/>
      <c r="D236" s="1134"/>
      <c r="E236" s="480" t="s">
        <v>113</v>
      </c>
      <c r="F236" s="481">
        <v>1.28</v>
      </c>
      <c r="G236" s="482"/>
      <c r="H236" s="481">
        <v>1</v>
      </c>
      <c r="I236" s="481">
        <v>1.72</v>
      </c>
      <c r="J236" s="483">
        <f>F236*I236</f>
        <v>2.2016</v>
      </c>
      <c r="K236" s="484" t="s">
        <v>233</v>
      </c>
      <c r="L236" s="485">
        <f>IF(Q236="","",N236*1/afa)</f>
      </c>
      <c r="M236" s="481"/>
      <c r="N236" s="485">
        <v>294</v>
      </c>
      <c r="O236" s="449"/>
      <c r="P236" s="454"/>
      <c r="Q236" s="469"/>
      <c r="S236" s="324" t="s">
        <v>240</v>
      </c>
      <c r="T236" s="449"/>
      <c r="U236" s="486">
        <f>IF(Q236="","",J236*Q236)</f>
      </c>
      <c r="V236" s="482"/>
      <c r="W236" s="487">
        <f>IF(X236="","",X236*1/afa)</f>
      </c>
      <c r="X236" s="487">
        <f>IF(Q236=0,"",ROUNDUP(AA236*euro,-3))</f>
      </c>
      <c r="Y236" s="482"/>
      <c r="Z236" s="487">
        <f>IF(Q236="","",L236*Q236)</f>
      </c>
      <c r="AA236" s="485">
        <f>IF(Q236="","",Z236*afa)</f>
      </c>
      <c r="AB236" s="451"/>
      <c r="AC236" s="449"/>
      <c r="AD236" s="449"/>
      <c r="AE236" s="458">
        <f>IF(Q236&lt;1,0,392)</f>
        <v>0</v>
      </c>
    </row>
    <row r="237" spans="3:31" ht="19.5" customHeight="1">
      <c r="C237" s="375" t="s">
        <v>275</v>
      </c>
      <c r="D237" s="431"/>
      <c r="E237" s="449" t="s">
        <v>114</v>
      </c>
      <c r="L237" s="1009" t="s">
        <v>711</v>
      </c>
      <c r="M237" s="1009"/>
      <c r="N237" s="376"/>
      <c r="Q237" s="323"/>
      <c r="S237" s="324">
        <f>SUM(Q226:Q236)</f>
        <v>0</v>
      </c>
      <c r="U237" s="245">
        <f>SUM(U234:U236)</f>
        <v>0</v>
      </c>
      <c r="W237" s="246">
        <f>X237*1/afa</f>
        <v>0</v>
      </c>
      <c r="X237" s="246">
        <f>ROUNDUP(afa*Z237*euro,-4)</f>
        <v>0</v>
      </c>
      <c r="Z237" s="246">
        <f>SUM(Z234:Z236)</f>
        <v>0</v>
      </c>
      <c r="AA237" s="243">
        <f>Z237*afa</f>
        <v>0</v>
      </c>
      <c r="AB237" s="242" t="s">
        <v>229</v>
      </c>
      <c r="AE237" s="243">
        <f>SUM(AE234:AE236)</f>
        <v>0</v>
      </c>
    </row>
    <row r="238" spans="3:32" ht="3.75" customHeight="1">
      <c r="C238" s="488"/>
      <c r="D238" s="489"/>
      <c r="E238" s="489"/>
      <c r="F238" s="489"/>
      <c r="G238" s="490"/>
      <c r="H238" s="489"/>
      <c r="I238" s="489"/>
      <c r="J238" s="489"/>
      <c r="K238" s="491"/>
      <c r="L238" s="492"/>
      <c r="M238" s="489"/>
      <c r="N238" s="492"/>
      <c r="O238" s="489"/>
      <c r="P238" s="493"/>
      <c r="Q238" s="494"/>
      <c r="R238" s="495"/>
      <c r="S238" s="496"/>
      <c r="T238" s="489"/>
      <c r="U238" s="497"/>
      <c r="V238" s="490"/>
      <c r="W238" s="498"/>
      <c r="X238" s="498"/>
      <c r="Y238" s="490"/>
      <c r="Z238" s="498"/>
      <c r="AA238" s="492"/>
      <c r="AB238" s="490"/>
      <c r="AC238" s="489"/>
      <c r="AD238" s="489"/>
      <c r="AE238" s="492"/>
      <c r="AF238" s="489"/>
    </row>
    <row r="239" spans="17:31" ht="12.75" customHeight="1">
      <c r="Q239" s="405"/>
      <c r="S239" s="324"/>
      <c r="AA239" s="243" t="s">
        <v>153</v>
      </c>
      <c r="AE239" s="243">
        <f>AE230+AE237</f>
        <v>0</v>
      </c>
    </row>
    <row r="240" spans="5:19" ht="12.75" customHeight="1">
      <c r="E240" s="432" t="s">
        <v>521</v>
      </c>
      <c r="Q240" s="405"/>
      <c r="S240" s="324"/>
    </row>
    <row r="241" spans="1:31" s="305" customFormat="1" ht="41.25" customHeight="1">
      <c r="A241" s="304"/>
      <c r="C241" s="377" t="s">
        <v>518</v>
      </c>
      <c r="E241" s="499" t="s">
        <v>185</v>
      </c>
      <c r="F241" s="309" t="s">
        <v>224</v>
      </c>
      <c r="G241" s="309"/>
      <c r="H241" s="309" t="s">
        <v>225</v>
      </c>
      <c r="I241" s="309" t="s">
        <v>226</v>
      </c>
      <c r="J241" s="310" t="s">
        <v>167</v>
      </c>
      <c r="K241" s="309"/>
      <c r="L241" s="311" t="s">
        <v>249</v>
      </c>
      <c r="M241" s="309"/>
      <c r="N241" s="312" t="s">
        <v>250</v>
      </c>
      <c r="O241" s="309"/>
      <c r="P241" s="313"/>
      <c r="Q241" s="379"/>
      <c r="R241" s="315" t="s">
        <v>165</v>
      </c>
      <c r="S241" s="315"/>
      <c r="T241" s="308"/>
      <c r="U241" s="317" t="s">
        <v>228</v>
      </c>
      <c r="V241" s="309" t="s">
        <v>233</v>
      </c>
      <c r="W241" s="318" t="s">
        <v>441</v>
      </c>
      <c r="X241" s="318" t="s">
        <v>441</v>
      </c>
      <c r="Y241" s="309"/>
      <c r="Z241" s="318" t="s">
        <v>166</v>
      </c>
      <c r="AA241" s="319" t="s">
        <v>166</v>
      </c>
      <c r="AB241" s="309" t="s">
        <v>229</v>
      </c>
      <c r="AC241" s="309"/>
      <c r="AD241" s="309"/>
      <c r="AE241" s="500" t="s">
        <v>230</v>
      </c>
    </row>
    <row r="242" spans="5:31" ht="12.75" customHeight="1">
      <c r="E242" s="240" t="s">
        <v>189</v>
      </c>
      <c r="F242" s="240" t="s">
        <v>277</v>
      </c>
      <c r="G242" s="242" t="s">
        <v>278</v>
      </c>
      <c r="I242" s="240" t="s">
        <v>231</v>
      </c>
      <c r="J242" s="240" t="s">
        <v>232</v>
      </c>
      <c r="Q242" s="323"/>
      <c r="S242" s="324"/>
      <c r="U242" s="245" t="s">
        <v>233</v>
      </c>
      <c r="W242" s="246" t="s">
        <v>234</v>
      </c>
      <c r="X242" s="246" t="s">
        <v>235</v>
      </c>
      <c r="Z242" s="246" t="s">
        <v>236</v>
      </c>
      <c r="AA242" s="243" t="s">
        <v>237</v>
      </c>
      <c r="AE242" s="309" t="s">
        <v>238</v>
      </c>
    </row>
    <row r="243" spans="3:31" ht="12.75" customHeight="1">
      <c r="C243" s="1095" t="s">
        <v>177</v>
      </c>
      <c r="D243" s="427" t="s">
        <v>203</v>
      </c>
      <c r="E243" s="427"/>
      <c r="F243" s="327">
        <v>3.64</v>
      </c>
      <c r="G243" s="328">
        <v>70</v>
      </c>
      <c r="H243" s="327">
        <v>4.5</v>
      </c>
      <c r="I243" s="440">
        <f aca="true" t="shared" si="82" ref="I243:I248">(H243*modul)+2*0.05</f>
        <v>6.76</v>
      </c>
      <c r="J243" s="440">
        <f>F243*I243</f>
        <v>24.6064</v>
      </c>
      <c r="K243" s="332" t="s">
        <v>233</v>
      </c>
      <c r="L243" s="333">
        <f aca="true" t="shared" si="83" ref="L243:L248">IF(Q243="","",N243*1/afa)</f>
      </c>
      <c r="M243" s="327"/>
      <c r="N243" s="333">
        <v>3250</v>
      </c>
      <c r="Q243" s="334"/>
      <c r="S243" s="324" t="s">
        <v>240</v>
      </c>
      <c r="U243" s="335">
        <f aca="true" t="shared" si="84" ref="U243:U248">IF(Q243="","",J243*Q243)</f>
      </c>
      <c r="V243" s="328" t="s">
        <v>233</v>
      </c>
      <c r="W243" s="336">
        <f aca="true" t="shared" si="85" ref="W243:W248">IF(X243="","",X243*1/afa)</f>
      </c>
      <c r="X243" s="336">
        <f aca="true" t="shared" si="86" ref="X243:X248">IF(Q243=0,"",ROUNDUP(AA243*euro,-3))</f>
      </c>
      <c r="Y243" s="328" t="s">
        <v>241</v>
      </c>
      <c r="Z243" s="336">
        <f aca="true" t="shared" si="87" ref="Z243:Z248">IF(Q243="","",L243*Q243)</f>
      </c>
      <c r="AA243" s="333">
        <f aca="true" t="shared" si="88" ref="AA243:AA248">IF(Q243="","",Z243*afa)</f>
      </c>
      <c r="AB243" s="242" t="s">
        <v>229</v>
      </c>
      <c r="AE243" s="243">
        <f aca="true" t="shared" si="89" ref="AE243:AE248">IF(Q243&lt;1,0,0)</f>
        <v>0</v>
      </c>
    </row>
    <row r="244" spans="3:31" ht="12.75" customHeight="1">
      <c r="C244" s="1095"/>
      <c r="D244" s="320" t="s">
        <v>204</v>
      </c>
      <c r="E244" s="320"/>
      <c r="F244" s="288">
        <f>F243*2</f>
        <v>7.28</v>
      </c>
      <c r="G244" s="338"/>
      <c r="H244" s="288">
        <v>4.5</v>
      </c>
      <c r="I244" s="403">
        <f t="shared" si="82"/>
        <v>6.76</v>
      </c>
      <c r="J244" s="403">
        <f>F243*I244</f>
        <v>24.6064</v>
      </c>
      <c r="K244" s="342" t="s">
        <v>233</v>
      </c>
      <c r="L244" s="322">
        <f t="shared" si="83"/>
      </c>
      <c r="M244" s="288"/>
      <c r="N244" s="322">
        <f>N243*2</f>
        <v>6500</v>
      </c>
      <c r="Q244" s="334"/>
      <c r="S244" s="324" t="s">
        <v>240</v>
      </c>
      <c r="U244" s="343">
        <f t="shared" si="84"/>
      </c>
      <c r="V244" s="338"/>
      <c r="W244" s="344">
        <f t="shared" si="85"/>
      </c>
      <c r="X244" s="344">
        <f t="shared" si="86"/>
      </c>
      <c r="Y244" s="338"/>
      <c r="Z244" s="344">
        <f t="shared" si="87"/>
      </c>
      <c r="AA244" s="322">
        <f t="shared" si="88"/>
      </c>
      <c r="AE244" s="243">
        <f t="shared" si="89"/>
        <v>0</v>
      </c>
    </row>
    <row r="245" spans="3:31" ht="12.75" customHeight="1">
      <c r="C245" s="1095"/>
      <c r="D245" s="320" t="s">
        <v>205</v>
      </c>
      <c r="E245" s="320"/>
      <c r="F245" s="288">
        <f>F243*2</f>
        <v>7.28</v>
      </c>
      <c r="G245" s="338"/>
      <c r="H245" s="288">
        <v>4.5</v>
      </c>
      <c r="I245" s="403">
        <f t="shared" si="82"/>
        <v>6.76</v>
      </c>
      <c r="J245" s="403">
        <f>F243*I245</f>
        <v>24.6064</v>
      </c>
      <c r="K245" s="342" t="s">
        <v>233</v>
      </c>
      <c r="L245" s="322">
        <f t="shared" si="83"/>
      </c>
      <c r="M245" s="288"/>
      <c r="N245" s="322">
        <v>4800</v>
      </c>
      <c r="Q245" s="334"/>
      <c r="S245" s="324" t="s">
        <v>240</v>
      </c>
      <c r="U245" s="343">
        <f t="shared" si="84"/>
      </c>
      <c r="V245" s="338"/>
      <c r="W245" s="344">
        <f t="shared" si="85"/>
      </c>
      <c r="X245" s="344">
        <f t="shared" si="86"/>
      </c>
      <c r="Y245" s="338"/>
      <c r="Z245" s="344">
        <f t="shared" si="87"/>
      </c>
      <c r="AA245" s="322">
        <f t="shared" si="88"/>
      </c>
      <c r="AE245" s="243">
        <f t="shared" si="89"/>
        <v>0</v>
      </c>
    </row>
    <row r="246" spans="3:31" ht="12.75" customHeight="1">
      <c r="C246" s="1095" t="s">
        <v>191</v>
      </c>
      <c r="D246" s="320" t="s">
        <v>206</v>
      </c>
      <c r="E246" s="320"/>
      <c r="F246" s="288">
        <f>F243</f>
        <v>3.64</v>
      </c>
      <c r="G246" s="338"/>
      <c r="H246" s="288">
        <v>6</v>
      </c>
      <c r="I246" s="403">
        <f t="shared" si="82"/>
        <v>8.979999999999999</v>
      </c>
      <c r="J246" s="403">
        <f>F243*I246</f>
        <v>32.6872</v>
      </c>
      <c r="K246" s="342" t="s">
        <v>233</v>
      </c>
      <c r="L246" s="322">
        <f t="shared" si="83"/>
      </c>
      <c r="M246" s="288"/>
      <c r="N246" s="322">
        <v>3710</v>
      </c>
      <c r="Q246" s="334"/>
      <c r="S246" s="324" t="s">
        <v>240</v>
      </c>
      <c r="U246" s="343">
        <f t="shared" si="84"/>
      </c>
      <c r="V246" s="338"/>
      <c r="W246" s="344">
        <f t="shared" si="85"/>
      </c>
      <c r="X246" s="344">
        <f t="shared" si="86"/>
      </c>
      <c r="Y246" s="338"/>
      <c r="Z246" s="344">
        <f t="shared" si="87"/>
      </c>
      <c r="AA246" s="322">
        <f t="shared" si="88"/>
      </c>
      <c r="AE246" s="243">
        <f t="shared" si="89"/>
        <v>0</v>
      </c>
    </row>
    <row r="247" spans="3:31" ht="12.75" customHeight="1">
      <c r="C247" s="1095"/>
      <c r="D247" s="320" t="s">
        <v>168</v>
      </c>
      <c r="E247" s="320"/>
      <c r="F247" s="288">
        <f>F243*2</f>
        <v>7.28</v>
      </c>
      <c r="G247" s="338"/>
      <c r="H247" s="288">
        <v>6</v>
      </c>
      <c r="I247" s="403">
        <f t="shared" si="82"/>
        <v>8.979999999999999</v>
      </c>
      <c r="J247" s="403">
        <f>F244*I247</f>
        <v>65.3744</v>
      </c>
      <c r="K247" s="342" t="s">
        <v>233</v>
      </c>
      <c r="L247" s="322">
        <f t="shared" si="83"/>
      </c>
      <c r="M247" s="288"/>
      <c r="N247" s="322">
        <v>6820</v>
      </c>
      <c r="Q247" s="334"/>
      <c r="S247" s="324" t="s">
        <v>240</v>
      </c>
      <c r="U247" s="343">
        <f t="shared" si="84"/>
      </c>
      <c r="V247" s="338"/>
      <c r="W247" s="344">
        <f t="shared" si="85"/>
      </c>
      <c r="X247" s="344">
        <f t="shared" si="86"/>
      </c>
      <c r="Y247" s="338"/>
      <c r="Z247" s="344">
        <f t="shared" si="87"/>
      </c>
      <c r="AA247" s="322">
        <f t="shared" si="88"/>
      </c>
      <c r="AE247" s="243">
        <f t="shared" si="89"/>
        <v>0</v>
      </c>
    </row>
    <row r="248" spans="3:31" ht="12.75" customHeight="1">
      <c r="C248" s="1095"/>
      <c r="D248" s="320" t="s">
        <v>169</v>
      </c>
      <c r="E248" s="320"/>
      <c r="F248" s="288">
        <f>F243</f>
        <v>3.64</v>
      </c>
      <c r="G248" s="338"/>
      <c r="H248" s="288">
        <v>9</v>
      </c>
      <c r="I248" s="403">
        <f t="shared" si="82"/>
        <v>13.42</v>
      </c>
      <c r="J248" s="403">
        <f>F245*I248</f>
        <v>97.69760000000001</v>
      </c>
      <c r="K248" s="342" t="s">
        <v>233</v>
      </c>
      <c r="L248" s="322">
        <f t="shared" si="83"/>
      </c>
      <c r="M248" s="288"/>
      <c r="N248" s="322">
        <v>4530</v>
      </c>
      <c r="Q248" s="334"/>
      <c r="S248" s="324" t="s">
        <v>240</v>
      </c>
      <c r="U248" s="343">
        <f t="shared" si="84"/>
      </c>
      <c r="V248" s="338"/>
      <c r="W248" s="344">
        <f t="shared" si="85"/>
      </c>
      <c r="X248" s="344">
        <f t="shared" si="86"/>
      </c>
      <c r="Y248" s="338"/>
      <c r="Z248" s="344">
        <f t="shared" si="87"/>
      </c>
      <c r="AA248" s="322">
        <f t="shared" si="88"/>
      </c>
      <c r="AE248" s="243">
        <f t="shared" si="89"/>
        <v>0</v>
      </c>
    </row>
    <row r="249" spans="4:27" ht="12.75" customHeight="1">
      <c r="D249" s="288"/>
      <c r="E249" s="288" t="s">
        <v>279</v>
      </c>
      <c r="F249" s="288"/>
      <c r="G249" s="338"/>
      <c r="H249" s="288"/>
      <c r="I249" s="288"/>
      <c r="J249" s="288"/>
      <c r="K249" s="342"/>
      <c r="L249" s="322"/>
      <c r="M249" s="288"/>
      <c r="N249" s="322"/>
      <c r="Q249" s="323"/>
      <c r="S249" s="324"/>
      <c r="U249" s="343"/>
      <c r="V249" s="338"/>
      <c r="W249" s="344"/>
      <c r="X249" s="344"/>
      <c r="Y249" s="338"/>
      <c r="Z249" s="344"/>
      <c r="AA249" s="322"/>
    </row>
    <row r="250" spans="4:27" ht="12.75" customHeight="1">
      <c r="D250" s="1136" t="s">
        <v>280</v>
      </c>
      <c r="E250" s="1136"/>
      <c r="F250" s="1136"/>
      <c r="G250" s="1136"/>
      <c r="H250" s="1136"/>
      <c r="I250" s="1136"/>
      <c r="J250" s="1136"/>
      <c r="K250" s="1136"/>
      <c r="L250" s="333">
        <f>IF(Q250="","",N250*1/afa)</f>
      </c>
      <c r="M250" s="327"/>
      <c r="N250" s="501">
        <v>252</v>
      </c>
      <c r="Q250" s="334"/>
      <c r="S250" s="324" t="s">
        <v>240</v>
      </c>
      <c r="U250" s="335">
        <f>IF(Q250="","",J250*Q250)</f>
      </c>
      <c r="V250" s="328"/>
      <c r="W250" s="336">
        <f>IF(X250="","",X250*1/afa)</f>
      </c>
      <c r="X250" s="336">
        <f>IF(Q250=0,"",ROUNDUP(AA250*euro,-3))</f>
      </c>
      <c r="Y250" s="328"/>
      <c r="Z250" s="336">
        <f>IF(Q250="","",L250*Q250)</f>
      </c>
      <c r="AA250" s="333">
        <f>IF(Q250="","",Z250*afa)</f>
      </c>
    </row>
    <row r="251" spans="4:27" ht="12.75" customHeight="1">
      <c r="D251" s="1073" t="s">
        <v>280</v>
      </c>
      <c r="E251" s="1073"/>
      <c r="F251" s="1073"/>
      <c r="G251" s="1073"/>
      <c r="H251" s="1073"/>
      <c r="I251" s="1073"/>
      <c r="J251" s="1073"/>
      <c r="K251" s="1073"/>
      <c r="L251" s="322">
        <f>IF(Q251="","",N251*1/afa)</f>
      </c>
      <c r="M251" s="288"/>
      <c r="N251" s="502">
        <v>0</v>
      </c>
      <c r="Q251" s="334"/>
      <c r="S251" s="324" t="s">
        <v>240</v>
      </c>
      <c r="U251" s="343">
        <f>IF(Q251="","",J251*Q251)</f>
      </c>
      <c r="V251" s="338"/>
      <c r="W251" s="344">
        <f>IF(X251="","",X251*1/afa)</f>
      </c>
      <c r="X251" s="344">
        <f>IF(Q251=0,"",ROUNDUP(AA251*euro,-3))</f>
      </c>
      <c r="Y251" s="338"/>
      <c r="Z251" s="344">
        <f>IF(Q251="","",L251*Q251)</f>
      </c>
      <c r="AA251" s="322">
        <f>IF(Q251="","",Z251*afa)</f>
      </c>
    </row>
    <row r="252" spans="4:27" ht="12.75" customHeight="1">
      <c r="D252" s="1074" t="s">
        <v>280</v>
      </c>
      <c r="E252" s="1074"/>
      <c r="F252" s="1074"/>
      <c r="G252" s="1074"/>
      <c r="H252" s="1074"/>
      <c r="I252" s="1074"/>
      <c r="J252" s="1074"/>
      <c r="K252" s="1074"/>
      <c r="L252" s="420">
        <f>IF(Q252="","",N252*1/afa)</f>
      </c>
      <c r="M252" s="415"/>
      <c r="N252" s="503">
        <v>0</v>
      </c>
      <c r="Q252" s="334"/>
      <c r="S252" s="324" t="s">
        <v>240</v>
      </c>
      <c r="U252" s="422">
        <f>IF(Q252="","",J252*Q252)</f>
      </c>
      <c r="V252" s="416"/>
      <c r="W252" s="423">
        <f>IF(X252="","",X252*1/afa)</f>
      </c>
      <c r="X252" s="423">
        <f>IF(Q252=0,"",ROUNDUP(AA252*euro,-3))</f>
      </c>
      <c r="Y252" s="416"/>
      <c r="Z252" s="423">
        <f>IF(Q252="","",L252*Q252)</f>
      </c>
      <c r="AA252" s="420">
        <f>IF(Q252="","",Z252*afa)</f>
      </c>
    </row>
    <row r="253" spans="3:31" ht="19.5" customHeight="1">
      <c r="C253" s="375" t="s">
        <v>281</v>
      </c>
      <c r="D253" s="431" t="s">
        <v>282</v>
      </c>
      <c r="Q253" s="323"/>
      <c r="S253" s="324">
        <f>SUM(Q243:Q252)</f>
        <v>0</v>
      </c>
      <c r="U253" s="245">
        <f>SUM(U243:U252)</f>
        <v>0</v>
      </c>
      <c r="W253" s="246">
        <f>IF(X253="","",X253*1/afa)</f>
        <v>0</v>
      </c>
      <c r="X253" s="246">
        <f>SUM(X245:X252)</f>
        <v>0</v>
      </c>
      <c r="Z253" s="246">
        <f>SUM(Z243:Z252)</f>
        <v>0</v>
      </c>
      <c r="AA253" s="243">
        <f>SUM(AA245:AA252)</f>
        <v>0</v>
      </c>
      <c r="AB253" s="242" t="s">
        <v>229</v>
      </c>
      <c r="AE253" s="243">
        <f>SUM(AE243:AE252)</f>
        <v>0</v>
      </c>
    </row>
    <row r="254" spans="5:19" ht="12.75" customHeight="1">
      <c r="E254" s="432" t="s">
        <v>521</v>
      </c>
      <c r="L254" s="1009" t="s">
        <v>711</v>
      </c>
      <c r="M254" s="1009"/>
      <c r="N254" s="376"/>
      <c r="Q254" s="405"/>
      <c r="S254" s="324"/>
    </row>
    <row r="255" spans="1:31" s="305" customFormat="1" ht="41.25" customHeight="1">
      <c r="A255" s="304"/>
      <c r="C255" s="377" t="s">
        <v>518</v>
      </c>
      <c r="E255" s="499" t="s">
        <v>187</v>
      </c>
      <c r="F255" s="308" t="s">
        <v>224</v>
      </c>
      <c r="G255" s="309"/>
      <c r="H255" s="309" t="s">
        <v>225</v>
      </c>
      <c r="I255" s="308" t="s">
        <v>226</v>
      </c>
      <c r="J255" s="310" t="s">
        <v>167</v>
      </c>
      <c r="K255" s="309"/>
      <c r="L255" s="311" t="s">
        <v>249</v>
      </c>
      <c r="M255" s="309"/>
      <c r="N255" s="312" t="s">
        <v>250</v>
      </c>
      <c r="O255" s="309"/>
      <c r="P255" s="313"/>
      <c r="Q255" s="379"/>
      <c r="R255" s="315" t="s">
        <v>165</v>
      </c>
      <c r="S255" s="315"/>
      <c r="T255" s="308"/>
      <c r="U255" s="317" t="s">
        <v>228</v>
      </c>
      <c r="V255" s="309" t="s">
        <v>233</v>
      </c>
      <c r="W255" s="318" t="s">
        <v>441</v>
      </c>
      <c r="X255" s="318" t="s">
        <v>441</v>
      </c>
      <c r="Y255" s="309"/>
      <c r="Z255" s="318" t="s">
        <v>166</v>
      </c>
      <c r="AA255" s="319" t="s">
        <v>166</v>
      </c>
      <c r="AB255" s="309" t="s">
        <v>229</v>
      </c>
      <c r="AC255" s="309"/>
      <c r="AD255" s="309"/>
      <c r="AE255" s="500" t="s">
        <v>230</v>
      </c>
    </row>
    <row r="256" spans="5:31" ht="12.75" customHeight="1">
      <c r="E256" s="240" t="s">
        <v>189</v>
      </c>
      <c r="F256" s="428" t="s">
        <v>277</v>
      </c>
      <c r="G256" s="242" t="s">
        <v>278</v>
      </c>
      <c r="I256" s="240" t="s">
        <v>231</v>
      </c>
      <c r="J256" s="240" t="s">
        <v>232</v>
      </c>
      <c r="Q256" s="323"/>
      <c r="S256" s="324"/>
      <c r="U256" s="245" t="s">
        <v>233</v>
      </c>
      <c r="W256" s="246" t="s">
        <v>234</v>
      </c>
      <c r="X256" s="246" t="s">
        <v>235</v>
      </c>
      <c r="Z256" s="246" t="s">
        <v>236</v>
      </c>
      <c r="AA256" s="243" t="s">
        <v>237</v>
      </c>
      <c r="AE256" s="309" t="s">
        <v>238</v>
      </c>
    </row>
    <row r="257" spans="3:31" ht="12.75" customHeight="1">
      <c r="C257" s="1094" t="s">
        <v>519</v>
      </c>
      <c r="D257" s="427" t="s">
        <v>283</v>
      </c>
      <c r="E257" s="427"/>
      <c r="F257" s="288">
        <f>F243</f>
        <v>3.64</v>
      </c>
      <c r="G257" s="328">
        <v>70</v>
      </c>
      <c r="H257" s="327">
        <v>1.5</v>
      </c>
      <c r="I257" s="440">
        <f aca="true" t="shared" si="90" ref="I257:I262">(H257*modul)+2*0.05</f>
        <v>2.32</v>
      </c>
      <c r="J257" s="440">
        <f>F257*I257</f>
        <v>8.444799999999999</v>
      </c>
      <c r="K257" s="332" t="s">
        <v>233</v>
      </c>
      <c r="L257" s="333">
        <f aca="true" t="shared" si="91" ref="L257:L264">IF(Q257="","",N257*1/afa)</f>
      </c>
      <c r="M257" s="327"/>
      <c r="N257" s="333">
        <v>1310</v>
      </c>
      <c r="Q257" s="334"/>
      <c r="S257" s="324" t="s">
        <v>240</v>
      </c>
      <c r="U257" s="335">
        <f aca="true" t="shared" si="92" ref="U257:U264">IF(Q257="","",J257*Q257)</f>
      </c>
      <c r="V257" s="328" t="s">
        <v>233</v>
      </c>
      <c r="W257" s="336">
        <f aca="true" t="shared" si="93" ref="W257:W264">IF(X257="","",X257*1/afa)</f>
      </c>
      <c r="X257" s="336">
        <f aca="true" t="shared" si="94" ref="X257:X264">IF(Q257=0,"",ROUNDUP(AA257*euro,-3))</f>
      </c>
      <c r="Y257" s="328" t="s">
        <v>241</v>
      </c>
      <c r="Z257" s="336">
        <f aca="true" t="shared" si="95" ref="Z257:Z264">IF(Q257="","",L257*Q257)</f>
      </c>
      <c r="AA257" s="333">
        <f aca="true" t="shared" si="96" ref="AA257:AA264">IF(Q257="","",Z257*afa)</f>
      </c>
      <c r="AB257" s="242" t="s">
        <v>229</v>
      </c>
      <c r="AE257" s="243">
        <f>IF(Q257&lt;1,0,714)</f>
        <v>0</v>
      </c>
    </row>
    <row r="258" spans="3:31" ht="12.75" customHeight="1">
      <c r="C258" s="1094"/>
      <c r="D258" s="320" t="s">
        <v>284</v>
      </c>
      <c r="E258" s="320"/>
      <c r="F258" s="288">
        <f>F257</f>
        <v>3.64</v>
      </c>
      <c r="G258" s="338"/>
      <c r="H258" s="288">
        <v>1.5</v>
      </c>
      <c r="I258" s="403">
        <f t="shared" si="90"/>
        <v>2.32</v>
      </c>
      <c r="J258" s="403">
        <f>F257*I258</f>
        <v>8.444799999999999</v>
      </c>
      <c r="K258" s="342" t="s">
        <v>233</v>
      </c>
      <c r="L258" s="322">
        <f t="shared" si="91"/>
      </c>
      <c r="M258" s="288"/>
      <c r="N258" s="322">
        <v>1310</v>
      </c>
      <c r="Q258" s="334"/>
      <c r="S258" s="324" t="s">
        <v>240</v>
      </c>
      <c r="U258" s="343">
        <f t="shared" si="92"/>
      </c>
      <c r="V258" s="338"/>
      <c r="W258" s="344">
        <f t="shared" si="93"/>
      </c>
      <c r="X258" s="344">
        <f t="shared" si="94"/>
      </c>
      <c r="Y258" s="338"/>
      <c r="Z258" s="344">
        <f t="shared" si="95"/>
      </c>
      <c r="AA258" s="322">
        <f t="shared" si="96"/>
      </c>
      <c r="AE258" s="243">
        <f>IF(Q258&lt;1,0,714)</f>
        <v>0</v>
      </c>
    </row>
    <row r="259" spans="3:31" ht="12.75" customHeight="1">
      <c r="C259" s="1094"/>
      <c r="D259" s="320" t="s">
        <v>285</v>
      </c>
      <c r="E259" s="320"/>
      <c r="F259" s="288">
        <f aca="true" t="shared" si="97" ref="F259:F264">F258</f>
        <v>3.64</v>
      </c>
      <c r="G259" s="338"/>
      <c r="H259" s="288">
        <v>1.5</v>
      </c>
      <c r="I259" s="403">
        <f t="shared" si="90"/>
        <v>2.32</v>
      </c>
      <c r="J259" s="403">
        <f>F257*I259</f>
        <v>8.444799999999999</v>
      </c>
      <c r="K259" s="342" t="s">
        <v>233</v>
      </c>
      <c r="L259" s="322">
        <f t="shared" si="91"/>
      </c>
      <c r="M259" s="288"/>
      <c r="N259" s="322">
        <v>1160</v>
      </c>
      <c r="Q259" s="334"/>
      <c r="S259" s="324" t="s">
        <v>240</v>
      </c>
      <c r="U259" s="343">
        <f t="shared" si="92"/>
      </c>
      <c r="V259" s="338"/>
      <c r="W259" s="344">
        <f t="shared" si="93"/>
      </c>
      <c r="X259" s="344">
        <f t="shared" si="94"/>
      </c>
      <c r="Y259" s="338"/>
      <c r="Z259" s="344">
        <f t="shared" si="95"/>
      </c>
      <c r="AA259" s="322">
        <f t="shared" si="96"/>
      </c>
      <c r="AE259" s="243">
        <f>IF(Q259&lt;1,0,623)</f>
        <v>0</v>
      </c>
    </row>
    <row r="260" spans="3:31" ht="12.75" customHeight="1">
      <c r="C260" s="1094"/>
      <c r="D260" s="320" t="s">
        <v>286</v>
      </c>
      <c r="E260" s="320"/>
      <c r="F260" s="288">
        <f t="shared" si="97"/>
        <v>3.64</v>
      </c>
      <c r="G260" s="338"/>
      <c r="H260" s="288">
        <v>1.5</v>
      </c>
      <c r="I260" s="403">
        <f t="shared" si="90"/>
        <v>2.32</v>
      </c>
      <c r="J260" s="403">
        <f>F257*I260</f>
        <v>8.444799999999999</v>
      </c>
      <c r="K260" s="342" t="s">
        <v>233</v>
      </c>
      <c r="L260" s="322">
        <f t="shared" si="91"/>
      </c>
      <c r="M260" s="288"/>
      <c r="N260" s="322">
        <v>1230</v>
      </c>
      <c r="Q260" s="334"/>
      <c r="S260" s="324" t="s">
        <v>240</v>
      </c>
      <c r="U260" s="343">
        <f t="shared" si="92"/>
      </c>
      <c r="V260" s="338"/>
      <c r="W260" s="344">
        <f t="shared" si="93"/>
      </c>
      <c r="X260" s="344">
        <f t="shared" si="94"/>
      </c>
      <c r="Y260" s="338"/>
      <c r="Z260" s="344">
        <f t="shared" si="95"/>
      </c>
      <c r="AA260" s="322">
        <f t="shared" si="96"/>
      </c>
      <c r="AE260" s="243">
        <f>IF(Q260&lt;1,0,668)</f>
        <v>0</v>
      </c>
    </row>
    <row r="261" spans="3:31" ht="12.75" customHeight="1">
      <c r="C261" s="1094"/>
      <c r="D261" s="320" t="s">
        <v>287</v>
      </c>
      <c r="E261" s="320"/>
      <c r="F261" s="288">
        <f t="shared" si="97"/>
        <v>3.64</v>
      </c>
      <c r="G261" s="338"/>
      <c r="H261" s="288">
        <v>1.5</v>
      </c>
      <c r="I261" s="403">
        <f t="shared" si="90"/>
        <v>2.32</v>
      </c>
      <c r="J261" s="403">
        <f>F258*I261</f>
        <v>8.444799999999999</v>
      </c>
      <c r="K261" s="342" t="s">
        <v>233</v>
      </c>
      <c r="L261" s="322">
        <f t="shared" si="91"/>
      </c>
      <c r="M261" s="288"/>
      <c r="N261" s="322">
        <v>1160</v>
      </c>
      <c r="Q261" s="334"/>
      <c r="S261" s="324" t="s">
        <v>240</v>
      </c>
      <c r="U261" s="343">
        <f t="shared" si="92"/>
      </c>
      <c r="V261" s="338"/>
      <c r="W261" s="344">
        <f t="shared" si="93"/>
      </c>
      <c r="X261" s="344">
        <f t="shared" si="94"/>
      </c>
      <c r="Y261" s="338"/>
      <c r="Z261" s="344">
        <f t="shared" si="95"/>
      </c>
      <c r="AA261" s="322">
        <f t="shared" si="96"/>
      </c>
      <c r="AE261" s="243">
        <f>IF(Q261&lt;1,0,623)</f>
        <v>0</v>
      </c>
    </row>
    <row r="262" spans="3:31" ht="12.75" customHeight="1">
      <c r="C262" s="1094"/>
      <c r="D262" s="320" t="s">
        <v>288</v>
      </c>
      <c r="E262" s="320"/>
      <c r="F262" s="288">
        <f t="shared" si="97"/>
        <v>3.64</v>
      </c>
      <c r="G262" s="338"/>
      <c r="H262" s="288">
        <v>1.5</v>
      </c>
      <c r="I262" s="403">
        <f>(H262*modul)+2*0.05</f>
        <v>2.32</v>
      </c>
      <c r="J262" s="403">
        <f>F259*I262</f>
        <v>8.444799999999999</v>
      </c>
      <c r="K262" s="342" t="s">
        <v>233</v>
      </c>
      <c r="L262" s="322">
        <f t="shared" si="91"/>
      </c>
      <c r="M262" s="288"/>
      <c r="N262" s="322">
        <v>1080</v>
      </c>
      <c r="Q262" s="334"/>
      <c r="S262" s="324" t="s">
        <v>240</v>
      </c>
      <c r="U262" s="343">
        <f t="shared" si="92"/>
      </c>
      <c r="V262" s="338"/>
      <c r="W262" s="344">
        <f t="shared" si="93"/>
      </c>
      <c r="X262" s="344">
        <f t="shared" si="94"/>
      </c>
      <c r="Y262" s="338"/>
      <c r="Z262" s="344">
        <f t="shared" si="95"/>
      </c>
      <c r="AA262" s="322">
        <f t="shared" si="96"/>
      </c>
      <c r="AE262" s="243">
        <f>IF(Q262&lt;1,0,577)</f>
        <v>0</v>
      </c>
    </row>
    <row r="263" spans="3:31" ht="12.75" customHeight="1">
      <c r="C263" s="1094"/>
      <c r="D263" s="320" t="s">
        <v>289</v>
      </c>
      <c r="E263" s="320"/>
      <c r="F263" s="288">
        <f t="shared" si="97"/>
        <v>3.64</v>
      </c>
      <c r="G263" s="338"/>
      <c r="H263" s="288">
        <v>0</v>
      </c>
      <c r="I263" s="403">
        <f>H263*(modul+2*0.15)</f>
        <v>0</v>
      </c>
      <c r="J263" s="403">
        <f>F257*I263</f>
        <v>0</v>
      </c>
      <c r="K263" s="342" t="s">
        <v>233</v>
      </c>
      <c r="L263" s="322">
        <f t="shared" si="91"/>
      </c>
      <c r="M263" s="288"/>
      <c r="N263" s="322">
        <v>1010</v>
      </c>
      <c r="Q263" s="334"/>
      <c r="S263" s="324" t="s">
        <v>240</v>
      </c>
      <c r="U263" s="343">
        <f t="shared" si="92"/>
      </c>
      <c r="V263" s="338"/>
      <c r="W263" s="344">
        <f t="shared" si="93"/>
      </c>
      <c r="X263" s="344">
        <f t="shared" si="94"/>
      </c>
      <c r="Y263" s="338"/>
      <c r="Z263" s="344">
        <f t="shared" si="95"/>
      </c>
      <c r="AA263" s="322">
        <f t="shared" si="96"/>
      </c>
      <c r="AE263" s="243">
        <f>IF(Q263&lt;1,0,532)</f>
        <v>0</v>
      </c>
    </row>
    <row r="264" spans="3:31" ht="12.75" customHeight="1">
      <c r="C264" s="1094"/>
      <c r="D264" s="380" t="s">
        <v>290</v>
      </c>
      <c r="E264" s="380"/>
      <c r="F264" s="288">
        <f t="shared" si="97"/>
        <v>3.64</v>
      </c>
      <c r="G264" s="416"/>
      <c r="H264" s="415">
        <v>0</v>
      </c>
      <c r="I264" s="441">
        <f>H264*(modul+2*0.15)</f>
        <v>0</v>
      </c>
      <c r="J264" s="441">
        <f>F257*I264</f>
        <v>0</v>
      </c>
      <c r="K264" s="419" t="s">
        <v>233</v>
      </c>
      <c r="L264" s="420">
        <f t="shared" si="91"/>
      </c>
      <c r="M264" s="415"/>
      <c r="N264" s="420">
        <v>930</v>
      </c>
      <c r="Q264" s="334"/>
      <c r="S264" s="324" t="s">
        <v>240</v>
      </c>
      <c r="U264" s="422">
        <f t="shared" si="92"/>
      </c>
      <c r="V264" s="416"/>
      <c r="W264" s="423">
        <f t="shared" si="93"/>
      </c>
      <c r="X264" s="423">
        <f t="shared" si="94"/>
      </c>
      <c r="Y264" s="416"/>
      <c r="Z264" s="423">
        <f t="shared" si="95"/>
      </c>
      <c r="AA264" s="420">
        <f t="shared" si="96"/>
      </c>
      <c r="AE264" s="243">
        <f>IF(Q264&lt;1,0,496)</f>
        <v>0</v>
      </c>
    </row>
    <row r="265" spans="3:31" ht="19.5" customHeight="1">
      <c r="C265" s="375" t="s">
        <v>291</v>
      </c>
      <c r="D265" s="240" t="s">
        <v>292</v>
      </c>
      <c r="Q265" s="323"/>
      <c r="S265" s="324">
        <f>SUM(Q257:Q264)</f>
        <v>0</v>
      </c>
      <c r="U265" s="245">
        <f>SUM(U257:U264)</f>
        <v>0</v>
      </c>
      <c r="W265" s="246">
        <f>SUM(W257:W264)</f>
        <v>0</v>
      </c>
      <c r="X265" s="246">
        <f>SUM(X257:X264)</f>
        <v>0</v>
      </c>
      <c r="Z265" s="246">
        <f>SUM(Z257:Z264)</f>
        <v>0</v>
      </c>
      <c r="AA265" s="243">
        <f>SUM(AA257:AA264)</f>
        <v>0</v>
      </c>
      <c r="AB265" s="242" t="s">
        <v>229</v>
      </c>
      <c r="AE265" s="243">
        <f>SUM(AE257:AE264)</f>
        <v>0</v>
      </c>
    </row>
    <row r="266" spans="5:19" ht="12.75" customHeight="1">
      <c r="E266" s="432" t="s">
        <v>521</v>
      </c>
      <c r="L266" s="1009" t="s">
        <v>711</v>
      </c>
      <c r="M266" s="1009"/>
      <c r="N266" s="376"/>
      <c r="Q266" s="405"/>
      <c r="S266" s="324"/>
    </row>
    <row r="267" spans="1:31" s="305" customFormat="1" ht="41.25" customHeight="1">
      <c r="A267" s="304"/>
      <c r="C267" s="377" t="s">
        <v>518</v>
      </c>
      <c r="E267" s="499" t="s">
        <v>186</v>
      </c>
      <c r="F267" s="308" t="s">
        <v>224</v>
      </c>
      <c r="G267" s="309"/>
      <c r="H267" s="309" t="s">
        <v>225</v>
      </c>
      <c r="I267" s="308" t="s">
        <v>226</v>
      </c>
      <c r="J267" s="310" t="s">
        <v>167</v>
      </c>
      <c r="K267" s="309"/>
      <c r="L267" s="311" t="s">
        <v>249</v>
      </c>
      <c r="M267" s="309"/>
      <c r="N267" s="312" t="s">
        <v>250</v>
      </c>
      <c r="O267" s="309"/>
      <c r="P267" s="313"/>
      <c r="Q267" s="379"/>
      <c r="R267" s="315" t="s">
        <v>165</v>
      </c>
      <c r="S267" s="315"/>
      <c r="T267" s="308"/>
      <c r="U267" s="317" t="s">
        <v>228</v>
      </c>
      <c r="V267" s="309" t="s">
        <v>233</v>
      </c>
      <c r="W267" s="318" t="s">
        <v>441</v>
      </c>
      <c r="X267" s="318" t="s">
        <v>441</v>
      </c>
      <c r="Y267" s="309"/>
      <c r="Z267" s="318" t="s">
        <v>166</v>
      </c>
      <c r="AA267" s="319" t="s">
        <v>166</v>
      </c>
      <c r="AB267" s="309" t="s">
        <v>229</v>
      </c>
      <c r="AC267" s="309"/>
      <c r="AD267" s="309"/>
      <c r="AE267" s="500" t="s">
        <v>230</v>
      </c>
    </row>
    <row r="268" spans="5:31" ht="12.75" customHeight="1">
      <c r="E268" s="240" t="s">
        <v>189</v>
      </c>
      <c r="F268" s="240" t="s">
        <v>277</v>
      </c>
      <c r="G268" s="242" t="s">
        <v>278</v>
      </c>
      <c r="I268" s="240" t="s">
        <v>231</v>
      </c>
      <c r="J268" s="240" t="s">
        <v>232</v>
      </c>
      <c r="Q268" s="323"/>
      <c r="S268" s="324"/>
      <c r="U268" s="245" t="s">
        <v>233</v>
      </c>
      <c r="W268" s="246" t="s">
        <v>234</v>
      </c>
      <c r="X268" s="246" t="s">
        <v>235</v>
      </c>
      <c r="Z268" s="246" t="s">
        <v>236</v>
      </c>
      <c r="AA268" s="243" t="s">
        <v>237</v>
      </c>
      <c r="AE268" s="309" t="s">
        <v>238</v>
      </c>
    </row>
    <row r="269" spans="3:31" ht="12.75" customHeight="1">
      <c r="C269" s="1093" t="s">
        <v>495</v>
      </c>
      <c r="D269" s="427" t="s">
        <v>293</v>
      </c>
      <c r="E269" s="427"/>
      <c r="F269" s="327">
        <f>F257</f>
        <v>3.64</v>
      </c>
      <c r="G269" s="328">
        <v>70</v>
      </c>
      <c r="H269" s="327">
        <v>4.5</v>
      </c>
      <c r="I269" s="440">
        <f>(H269*modul)+2*0.05</f>
        <v>6.76</v>
      </c>
      <c r="J269" s="440">
        <f>F269*I269</f>
        <v>24.6064</v>
      </c>
      <c r="K269" s="332" t="s">
        <v>233</v>
      </c>
      <c r="L269" s="333">
        <f>IF(Q269="","",N269*1/afa)</f>
      </c>
      <c r="M269" s="327"/>
      <c r="N269" s="333">
        <v>1290</v>
      </c>
      <c r="Q269" s="334"/>
      <c r="S269" s="324" t="s">
        <v>240</v>
      </c>
      <c r="U269" s="335">
        <f aca="true" t="shared" si="98" ref="U269:U276">IF(Q269="","",J269*Q269)</f>
      </c>
      <c r="V269" s="328" t="s">
        <v>233</v>
      </c>
      <c r="W269" s="336">
        <f aca="true" t="shared" si="99" ref="W269:W276">IF(X269="","",X269*1/afa)</f>
      </c>
      <c r="X269" s="336">
        <f aca="true" t="shared" si="100" ref="X269:X276">IF(Q269=0,"",ROUNDUP(AA269*euro,-3))</f>
      </c>
      <c r="Y269" s="328"/>
      <c r="Z269" s="336">
        <f aca="true" t="shared" si="101" ref="Z269:Z276">IF(Q269="","",L269*Q269)</f>
      </c>
      <c r="AA269" s="333">
        <f aca="true" t="shared" si="102" ref="AA269:AA276">IF(Q269="","",Z269*afa)</f>
      </c>
      <c r="AB269" s="242" t="s">
        <v>229</v>
      </c>
      <c r="AE269" s="243">
        <f>IF(Q269&lt;1,0,796)</f>
        <v>0</v>
      </c>
    </row>
    <row r="270" spans="3:31" ht="12.75" customHeight="1">
      <c r="C270" s="1093"/>
      <c r="D270" s="320" t="s">
        <v>294</v>
      </c>
      <c r="E270" s="320"/>
      <c r="F270" s="288">
        <f>F269</f>
        <v>3.64</v>
      </c>
      <c r="G270" s="338"/>
      <c r="H270" s="288">
        <v>4.5</v>
      </c>
      <c r="I270" s="403">
        <f>(H270*modul)+2*0.05</f>
        <v>6.76</v>
      </c>
      <c r="J270" s="403">
        <f aca="true" t="shared" si="103" ref="J269:J276">F270*I270</f>
        <v>24.6064</v>
      </c>
      <c r="K270" s="342" t="s">
        <v>295</v>
      </c>
      <c r="L270" s="322">
        <f aca="true" t="shared" si="104" ref="L269:L276">IF(Q270="","",N270*1/afa)</f>
      </c>
      <c r="M270" s="288"/>
      <c r="N270" s="322">
        <v>1440</v>
      </c>
      <c r="Q270" s="334"/>
      <c r="S270" s="324" t="s">
        <v>240</v>
      </c>
      <c r="U270" s="343">
        <f t="shared" si="98"/>
      </c>
      <c r="V270" s="338"/>
      <c r="W270" s="344">
        <f t="shared" si="99"/>
      </c>
      <c r="X270" s="344">
        <f t="shared" si="100"/>
      </c>
      <c r="Y270" s="338"/>
      <c r="Z270" s="344">
        <f t="shared" si="101"/>
      </c>
      <c r="AA270" s="322">
        <f t="shared" si="102"/>
      </c>
      <c r="AE270" s="243">
        <f>IF(Q270&lt;1,0,887)</f>
        <v>0</v>
      </c>
    </row>
    <row r="271" spans="3:31" ht="12.75" customHeight="1">
      <c r="C271" s="1093"/>
      <c r="D271" s="320" t="s">
        <v>296</v>
      </c>
      <c r="E271" s="320"/>
      <c r="F271" s="288">
        <f aca="true" t="shared" si="105" ref="F271:F276">F270</f>
        <v>3.64</v>
      </c>
      <c r="G271" s="338"/>
      <c r="H271" s="288">
        <v>4.5</v>
      </c>
      <c r="I271" s="403">
        <f>(H271*modul)+2*0.05</f>
        <v>6.76</v>
      </c>
      <c r="J271" s="403">
        <f t="shared" si="103"/>
        <v>24.6064</v>
      </c>
      <c r="K271" s="342" t="s">
        <v>233</v>
      </c>
      <c r="L271" s="322">
        <f t="shared" si="104"/>
      </c>
      <c r="M271" s="288"/>
      <c r="N271" s="322">
        <v>1590</v>
      </c>
      <c r="Q271" s="334"/>
      <c r="S271" s="324" t="s">
        <v>240</v>
      </c>
      <c r="U271" s="343">
        <f t="shared" si="98"/>
      </c>
      <c r="V271" s="338"/>
      <c r="W271" s="344">
        <f t="shared" si="99"/>
      </c>
      <c r="X271" s="344">
        <f t="shared" si="100"/>
      </c>
      <c r="Y271" s="338"/>
      <c r="Z271" s="344">
        <f t="shared" si="101"/>
      </c>
      <c r="AA271" s="322">
        <f t="shared" si="102"/>
      </c>
      <c r="AE271" s="243">
        <f>IF(Q271&lt;1,0,978)</f>
        <v>0</v>
      </c>
    </row>
    <row r="272" spans="3:31" ht="12.75" customHeight="1">
      <c r="C272" s="1093"/>
      <c r="D272" s="320" t="s">
        <v>297</v>
      </c>
      <c r="E272" s="320"/>
      <c r="F272" s="288">
        <f t="shared" si="105"/>
        <v>3.64</v>
      </c>
      <c r="G272" s="338"/>
      <c r="H272" s="288">
        <v>4.5</v>
      </c>
      <c r="I272" s="403">
        <f>(H272*modul)+2*0.05</f>
        <v>6.76</v>
      </c>
      <c r="J272" s="403">
        <f t="shared" si="103"/>
        <v>24.6064</v>
      </c>
      <c r="K272" s="342" t="s">
        <v>233</v>
      </c>
      <c r="L272" s="322">
        <f t="shared" si="104"/>
      </c>
      <c r="M272" s="288"/>
      <c r="N272" s="322">
        <v>1890</v>
      </c>
      <c r="Q272" s="334"/>
      <c r="S272" s="324" t="s">
        <v>240</v>
      </c>
      <c r="U272" s="343">
        <f t="shared" si="98"/>
      </c>
      <c r="V272" s="338"/>
      <c r="W272" s="344">
        <f t="shared" si="99"/>
      </c>
      <c r="X272" s="344">
        <f t="shared" si="100"/>
      </c>
      <c r="Y272" s="338"/>
      <c r="Z272" s="344">
        <f t="shared" si="101"/>
      </c>
      <c r="AA272" s="322">
        <f t="shared" si="102"/>
      </c>
      <c r="AE272" s="243">
        <f>IF(Q272&lt;1,0,1160)</f>
        <v>0</v>
      </c>
    </row>
    <row r="273" spans="3:31" ht="12.75" customHeight="1">
      <c r="C273" s="1093"/>
      <c r="D273" s="320" t="s">
        <v>298</v>
      </c>
      <c r="E273" s="320"/>
      <c r="F273" s="288">
        <f t="shared" si="105"/>
        <v>3.64</v>
      </c>
      <c r="G273" s="338"/>
      <c r="H273" s="288">
        <v>4.5</v>
      </c>
      <c r="I273" s="403">
        <f>(H273*modul)+2*0.05</f>
        <v>6.76</v>
      </c>
      <c r="J273" s="403">
        <f t="shared" si="103"/>
        <v>24.6064</v>
      </c>
      <c r="K273" s="342" t="s">
        <v>233</v>
      </c>
      <c r="L273" s="322">
        <f t="shared" si="104"/>
      </c>
      <c r="M273" s="288"/>
      <c r="N273" s="322">
        <v>1740</v>
      </c>
      <c r="Q273" s="334"/>
      <c r="S273" s="324" t="s">
        <v>240</v>
      </c>
      <c r="U273" s="343">
        <f t="shared" si="98"/>
      </c>
      <c r="V273" s="338"/>
      <c r="W273" s="344">
        <f t="shared" si="99"/>
      </c>
      <c r="X273" s="344">
        <f t="shared" si="100"/>
      </c>
      <c r="Y273" s="338"/>
      <c r="Z273" s="344">
        <f t="shared" si="101"/>
      </c>
      <c r="AA273" s="322">
        <f t="shared" si="102"/>
      </c>
      <c r="AE273" s="243">
        <f>IF(Q273&lt;1,0,1069)</f>
        <v>0</v>
      </c>
    </row>
    <row r="274" spans="3:31" ht="12.75" customHeight="1">
      <c r="C274" s="1093"/>
      <c r="D274" s="320" t="s">
        <v>299</v>
      </c>
      <c r="E274" s="320"/>
      <c r="F274" s="288">
        <f t="shared" si="105"/>
        <v>3.64</v>
      </c>
      <c r="G274" s="338"/>
      <c r="H274" s="288">
        <v>4.5</v>
      </c>
      <c r="I274" s="403">
        <f>(H274*modul)+2*0.05</f>
        <v>6.76</v>
      </c>
      <c r="J274" s="403">
        <f t="shared" si="103"/>
        <v>24.6064</v>
      </c>
      <c r="K274" s="342" t="s">
        <v>233</v>
      </c>
      <c r="L274" s="322">
        <f t="shared" si="104"/>
      </c>
      <c r="M274" s="288"/>
      <c r="N274" s="322">
        <v>1890</v>
      </c>
      <c r="Q274" s="334"/>
      <c r="S274" s="324" t="s">
        <v>240</v>
      </c>
      <c r="U274" s="343">
        <f t="shared" si="98"/>
      </c>
      <c r="V274" s="338"/>
      <c r="W274" s="344">
        <f t="shared" si="99"/>
      </c>
      <c r="X274" s="344">
        <f t="shared" si="100"/>
      </c>
      <c r="Y274" s="338"/>
      <c r="Z274" s="344">
        <f t="shared" si="101"/>
      </c>
      <c r="AA274" s="322">
        <f t="shared" si="102"/>
      </c>
      <c r="AE274" s="243">
        <f>IF(Q274&lt;1,0,1160)</f>
        <v>0</v>
      </c>
    </row>
    <row r="275" spans="3:31" ht="12.75" customHeight="1">
      <c r="C275" s="1093"/>
      <c r="D275" s="320" t="s">
        <v>300</v>
      </c>
      <c r="E275" s="320"/>
      <c r="F275" s="288">
        <f t="shared" si="105"/>
        <v>3.64</v>
      </c>
      <c r="G275" s="338"/>
      <c r="H275" s="288">
        <v>4.5</v>
      </c>
      <c r="I275" s="403">
        <f>(H275*modul)+2*0.05</f>
        <v>6.76</v>
      </c>
      <c r="J275" s="403">
        <f t="shared" si="103"/>
        <v>24.6064</v>
      </c>
      <c r="K275" s="342" t="s">
        <v>233</v>
      </c>
      <c r="L275" s="322">
        <f t="shared" si="104"/>
      </c>
      <c r="M275" s="288"/>
      <c r="N275" s="322">
        <v>2040</v>
      </c>
      <c r="Q275" s="334"/>
      <c r="S275" s="324" t="s">
        <v>240</v>
      </c>
      <c r="U275" s="343">
        <f t="shared" si="98"/>
      </c>
      <c r="V275" s="338"/>
      <c r="W275" s="344">
        <f t="shared" si="99"/>
      </c>
      <c r="X275" s="344">
        <f t="shared" si="100"/>
      </c>
      <c r="Y275" s="338"/>
      <c r="Z275" s="344">
        <f t="shared" si="101"/>
      </c>
      <c r="AA275" s="322">
        <f t="shared" si="102"/>
      </c>
      <c r="AE275" s="243">
        <f>IF(Q275&lt;1,0,1250)</f>
        <v>0</v>
      </c>
    </row>
    <row r="276" spans="3:31" ht="12.75" customHeight="1">
      <c r="C276" s="1093"/>
      <c r="D276" s="380" t="s">
        <v>301</v>
      </c>
      <c r="E276" s="380"/>
      <c r="F276" s="288">
        <f t="shared" si="105"/>
        <v>3.64</v>
      </c>
      <c r="G276" s="416"/>
      <c r="H276" s="415">
        <v>4.5</v>
      </c>
      <c r="I276" s="441">
        <f>(H276*modul)+2*0.05</f>
        <v>6.76</v>
      </c>
      <c r="J276" s="441">
        <f t="shared" si="103"/>
        <v>24.6064</v>
      </c>
      <c r="K276" s="419" t="s">
        <v>233</v>
      </c>
      <c r="L276" s="420">
        <f t="shared" si="104"/>
      </c>
      <c r="M276" s="415"/>
      <c r="N276" s="420">
        <v>2120</v>
      </c>
      <c r="Q276" s="334"/>
      <c r="S276" s="324" t="s">
        <v>240</v>
      </c>
      <c r="U276" s="422">
        <f t="shared" si="98"/>
      </c>
      <c r="V276" s="416"/>
      <c r="W276" s="423">
        <f t="shared" si="99"/>
      </c>
      <c r="X276" s="423">
        <f t="shared" si="100"/>
      </c>
      <c r="Y276" s="416"/>
      <c r="Z276" s="423">
        <f t="shared" si="101"/>
      </c>
      <c r="AA276" s="420">
        <f t="shared" si="102"/>
      </c>
      <c r="AE276" s="243">
        <f>IF(Q276&lt;1,0,1296)</f>
        <v>0</v>
      </c>
    </row>
    <row r="277" spans="4:31" ht="12.75" customHeight="1">
      <c r="D277" s="240" t="s">
        <v>302</v>
      </c>
      <c r="Q277" s="323"/>
      <c r="S277" s="324">
        <f>SUM(Q269:Q276)</f>
        <v>0</v>
      </c>
      <c r="U277" s="245">
        <f>SUM(U269:U276)</f>
        <v>0</v>
      </c>
      <c r="W277" s="246">
        <f>SUM(W269:W276)</f>
        <v>0</v>
      </c>
      <c r="X277" s="246">
        <f>SUM(X269:X276)</f>
        <v>0</v>
      </c>
      <c r="Z277" s="246">
        <f>SUM(Z269:Z276)</f>
        <v>0</v>
      </c>
      <c r="AA277" s="243">
        <f>SUM(AA269:AA276)</f>
        <v>0</v>
      </c>
      <c r="AB277" s="242" t="s">
        <v>229</v>
      </c>
      <c r="AE277" s="243">
        <f>SUM(AE269:AE276)</f>
        <v>0</v>
      </c>
    </row>
    <row r="278" spans="3:27" ht="19.5" customHeight="1">
      <c r="C278" s="375" t="s">
        <v>303</v>
      </c>
      <c r="D278" s="240" t="s">
        <v>304</v>
      </c>
      <c r="L278" s="1009" t="s">
        <v>711</v>
      </c>
      <c r="M278" s="1009"/>
      <c r="N278" s="376"/>
      <c r="Q278" s="405"/>
      <c r="S278" s="324" t="s">
        <v>240</v>
      </c>
      <c r="U278" s="245">
        <f>U265+U277</f>
        <v>0</v>
      </c>
      <c r="W278" s="246">
        <f>X278*1/afa</f>
        <v>0</v>
      </c>
      <c r="X278" s="246">
        <f>ROUNDUP(AA278*euro,-3)</f>
        <v>0</v>
      </c>
      <c r="Z278" s="246">
        <f>Z265+Z277</f>
        <v>0</v>
      </c>
      <c r="AA278" s="243">
        <f>Z278*afa</f>
        <v>0</v>
      </c>
    </row>
    <row r="279" spans="3:32" ht="3.75" customHeight="1">
      <c r="C279" s="488"/>
      <c r="D279" s="489"/>
      <c r="E279" s="489"/>
      <c r="F279" s="489"/>
      <c r="G279" s="490"/>
      <c r="H279" s="489"/>
      <c r="I279" s="489"/>
      <c r="J279" s="489"/>
      <c r="K279" s="491"/>
      <c r="L279" s="492"/>
      <c r="M279" s="489"/>
      <c r="N279" s="492"/>
      <c r="O279" s="489"/>
      <c r="P279" s="493"/>
      <c r="Q279" s="494"/>
      <c r="R279" s="495"/>
      <c r="S279" s="496"/>
      <c r="T279" s="489"/>
      <c r="U279" s="497"/>
      <c r="V279" s="490"/>
      <c r="W279" s="498"/>
      <c r="X279" s="498"/>
      <c r="Y279" s="490"/>
      <c r="Z279" s="498"/>
      <c r="AA279" s="492"/>
      <c r="AB279" s="490"/>
      <c r="AC279" s="489"/>
      <c r="AD279" s="489"/>
      <c r="AE279" s="492"/>
      <c r="AF279" s="489"/>
    </row>
    <row r="280" spans="1:31" ht="0" customHeight="1" hidden="1">
      <c r="A280" s="251"/>
      <c r="Q280" s="405"/>
      <c r="S280" s="324"/>
      <c r="AA280" s="243" t="s">
        <v>153</v>
      </c>
      <c r="AE280" s="243">
        <f>AE253+AE265+AE277+AE278</f>
        <v>0</v>
      </c>
    </row>
    <row r="281" spans="3:29" ht="0" customHeight="1" hidden="1">
      <c r="C281" s="1101" t="s">
        <v>149</v>
      </c>
      <c r="D281" s="1131" t="s">
        <v>157</v>
      </c>
      <c r="E281" s="1131"/>
      <c r="F281" s="1131"/>
      <c r="G281" s="1131"/>
      <c r="H281" s="1131"/>
      <c r="I281" s="1131"/>
      <c r="J281" s="1131"/>
      <c r="K281" s="1131"/>
      <c r="L281" s="1131"/>
      <c r="M281" s="1131"/>
      <c r="N281" s="1131"/>
      <c r="O281" s="239"/>
      <c r="Q281" s="405"/>
      <c r="R281" s="1061" t="s">
        <v>227</v>
      </c>
      <c r="S281" s="324"/>
      <c r="T281" s="239"/>
      <c r="U281" s="504"/>
      <c r="V281" s="263"/>
      <c r="W281" s="301"/>
      <c r="X281" s="301"/>
      <c r="Y281" s="263"/>
      <c r="Z281" s="301"/>
      <c r="AA281" s="262"/>
      <c r="AB281" s="263"/>
      <c r="AC281" s="505"/>
    </row>
    <row r="282" spans="3:29" ht="0" customHeight="1" hidden="1">
      <c r="C282" s="1101"/>
      <c r="D282" s="240" t="s">
        <v>306</v>
      </c>
      <c r="E282" s="240" t="s">
        <v>307</v>
      </c>
      <c r="I282" s="506" t="s">
        <v>526</v>
      </c>
      <c r="J282" s="240" t="s">
        <v>308</v>
      </c>
      <c r="L282" s="243" t="s">
        <v>249</v>
      </c>
      <c r="N282" s="243" t="s">
        <v>250</v>
      </c>
      <c r="O282" s="239"/>
      <c r="Q282" s="405"/>
      <c r="R282" s="1061"/>
      <c r="S282" s="324"/>
      <c r="T282" s="239"/>
      <c r="V282" s="242" t="s">
        <v>233</v>
      </c>
      <c r="W282" s="507" t="s">
        <v>393</v>
      </c>
      <c r="X282" s="507" t="s">
        <v>393</v>
      </c>
      <c r="Z282" s="507" t="s">
        <v>394</v>
      </c>
      <c r="AA282" s="243" t="s">
        <v>152</v>
      </c>
      <c r="AB282" s="263" t="s">
        <v>229</v>
      </c>
      <c r="AC282" s="505"/>
    </row>
    <row r="283" spans="3:29" ht="0" customHeight="1" hidden="1">
      <c r="C283" s="1101"/>
      <c r="H283" s="431" t="s">
        <v>308</v>
      </c>
      <c r="O283" s="239"/>
      <c r="Q283" s="405"/>
      <c r="R283" s="1061"/>
      <c r="S283" s="324"/>
      <c r="T283" s="239"/>
      <c r="W283" s="246" t="s">
        <v>234</v>
      </c>
      <c r="X283" s="246" t="s">
        <v>235</v>
      </c>
      <c r="Z283" s="246" t="s">
        <v>236</v>
      </c>
      <c r="AA283" s="243" t="s">
        <v>237</v>
      </c>
      <c r="AB283" s="263"/>
      <c r="AC283" s="505"/>
    </row>
    <row r="284" spans="3:29" ht="0" customHeight="1" hidden="1" thickBot="1">
      <c r="C284" s="1101"/>
      <c r="D284" s="508" t="s">
        <v>527</v>
      </c>
      <c r="O284" s="239"/>
      <c r="Q284" s="323"/>
      <c r="R284" s="1061"/>
      <c r="S284" s="324"/>
      <c r="T284" s="239"/>
      <c r="U284" s="509"/>
      <c r="V284" s="510"/>
      <c r="W284" s="511"/>
      <c r="X284" s="511"/>
      <c r="Y284" s="510"/>
      <c r="Z284" s="511"/>
      <c r="AA284" s="512"/>
      <c r="AB284" s="263"/>
      <c r="AC284" s="505"/>
    </row>
    <row r="285" spans="3:29" ht="0" customHeight="1" hidden="1" thickBot="1">
      <c r="C285" s="1099" t="s">
        <v>309</v>
      </c>
      <c r="D285" s="513" t="s">
        <v>217</v>
      </c>
      <c r="E285" s="514" t="s">
        <v>115</v>
      </c>
      <c r="F285" s="1040" t="s">
        <v>691</v>
      </c>
      <c r="G285" s="1041"/>
      <c r="H285" s="1042"/>
      <c r="I285" s="515">
        <v>2.36</v>
      </c>
      <c r="J285" s="515">
        <f>F285*I285</f>
        <v>0</v>
      </c>
      <c r="K285" s="516"/>
      <c r="L285" s="517">
        <f>IF(Q285="","",N285*1/afa)</f>
      </c>
      <c r="M285" s="515"/>
      <c r="N285" s="517">
        <v>118</v>
      </c>
      <c r="Q285" s="518"/>
      <c r="S285" s="324" t="s">
        <v>240</v>
      </c>
      <c r="U285" s="509">
        <f>IF(Q285="","",J285*Q285)</f>
      </c>
      <c r="V285" s="510" t="s">
        <v>233</v>
      </c>
      <c r="W285" s="511">
        <f>IF(X285="","",X285*1/afa)</f>
      </c>
      <c r="X285" s="511">
        <f>IF(Q285=0,"",ROUNDUP(AA285*euro,-3))</f>
      </c>
      <c r="Y285" s="510"/>
      <c r="Z285" s="511">
        <f>IF(Q285="","",F285*L285*Q285)</f>
      </c>
      <c r="AA285" s="512">
        <f>IF(Q285="","",Z285*afa)</f>
      </c>
      <c r="AB285" s="242" t="s">
        <v>229</v>
      </c>
      <c r="AC285" s="505"/>
    </row>
    <row r="286" spans="3:29" ht="0" customHeight="1" hidden="1">
      <c r="C286" s="1099"/>
      <c r="D286" s="519" t="s">
        <v>116</v>
      </c>
      <c r="L286" s="1020" t="s">
        <v>579</v>
      </c>
      <c r="M286" s="1020"/>
      <c r="N286" s="376"/>
      <c r="Q286" s="323"/>
      <c r="S286" s="324"/>
      <c r="AC286" s="505"/>
    </row>
    <row r="287" spans="3:29" ht="0" customHeight="1" hidden="1">
      <c r="C287" s="1099"/>
      <c r="D287" s="520" t="s">
        <v>218</v>
      </c>
      <c r="E287" s="427" t="s">
        <v>587</v>
      </c>
      <c r="F287" s="521"/>
      <c r="G287" s="522"/>
      <c r="H287" s="521">
        <f>2.44-2*0.19</f>
        <v>2.06</v>
      </c>
      <c r="I287" s="521">
        <v>2.36</v>
      </c>
      <c r="J287" s="521">
        <f>H287*I287</f>
        <v>4.8616</v>
      </c>
      <c r="K287" s="523"/>
      <c r="L287" s="524">
        <f>IF(Q287="","",N287*1/afa)</f>
      </c>
      <c r="M287" s="521"/>
      <c r="N287" s="524">
        <f>N285</f>
        <v>118</v>
      </c>
      <c r="Q287" s="334"/>
      <c r="S287" s="324" t="s">
        <v>240</v>
      </c>
      <c r="U287" s="335">
        <f>IF(Q287="","",J287*Q287)</f>
      </c>
      <c r="V287" s="328" t="s">
        <v>233</v>
      </c>
      <c r="W287" s="336">
        <f>IF(X287="","",X287*1/afa)</f>
      </c>
      <c r="X287" s="336">
        <f>IF(Q287=0,"",ROUNDUP(AA287*euro,-3))</f>
      </c>
      <c r="Y287" s="328"/>
      <c r="Z287" s="336">
        <f>IF(Q287="","",H287*L287*Q287)</f>
      </c>
      <c r="AA287" s="333">
        <f>IF(Q287="","",Z287*afa)</f>
      </c>
      <c r="AB287" s="242" t="s">
        <v>229</v>
      </c>
      <c r="AC287" s="505"/>
    </row>
    <row r="288" spans="3:29" ht="0" customHeight="1" hidden="1">
      <c r="C288" s="1099"/>
      <c r="D288" s="520" t="s">
        <v>310</v>
      </c>
      <c r="E288" s="320" t="s">
        <v>588</v>
      </c>
      <c r="F288" s="525"/>
      <c r="G288" s="526"/>
      <c r="H288" s="525">
        <f>2.74-2*0.19</f>
        <v>2.3600000000000003</v>
      </c>
      <c r="I288" s="525">
        <v>2.36</v>
      </c>
      <c r="J288" s="525">
        <f>H288*I288</f>
        <v>5.5696</v>
      </c>
      <c r="K288" s="527"/>
      <c r="L288" s="528">
        <f>IF(Q288="","",N288*1/afa)</f>
      </c>
      <c r="M288" s="525"/>
      <c r="N288" s="528">
        <f>N285</f>
        <v>118</v>
      </c>
      <c r="Q288" s="334"/>
      <c r="S288" s="324" t="s">
        <v>240</v>
      </c>
      <c r="U288" s="343">
        <f>IF(Q288="","",J288*Q288)</f>
      </c>
      <c r="V288" s="338" t="s">
        <v>233</v>
      </c>
      <c r="W288" s="344">
        <f>IF(X288="","",X288*1/afa)</f>
      </c>
      <c r="X288" s="344">
        <f>IF(Q288=0,"",ROUNDUP(AA288*euro,-3))</f>
      </c>
      <c r="Y288" s="338"/>
      <c r="Z288" s="344">
        <f>IF(Q288="","",H288*L288*Q288)</f>
      </c>
      <c r="AA288" s="322">
        <f>IF(Q288="","",Z288*afa)</f>
      </c>
      <c r="AB288" s="242" t="s">
        <v>229</v>
      </c>
      <c r="AC288" s="505"/>
    </row>
    <row r="289" spans="3:29" ht="0" customHeight="1" hidden="1">
      <c r="C289" s="1099"/>
      <c r="D289" s="520" t="s">
        <v>311</v>
      </c>
      <c r="E289" s="320" t="s">
        <v>589</v>
      </c>
      <c r="F289" s="525"/>
      <c r="G289" s="526"/>
      <c r="H289" s="525">
        <f>3.04-2*0.19</f>
        <v>2.66</v>
      </c>
      <c r="I289" s="525">
        <v>2.36</v>
      </c>
      <c r="J289" s="525">
        <f>H289*I289</f>
        <v>6.2776</v>
      </c>
      <c r="K289" s="527"/>
      <c r="L289" s="528">
        <f>IF(Q289="","",N289*1/afa)</f>
      </c>
      <c r="M289" s="525"/>
      <c r="N289" s="528">
        <f>N285</f>
        <v>118</v>
      </c>
      <c r="Q289" s="334"/>
      <c r="S289" s="324" t="s">
        <v>240</v>
      </c>
      <c r="U289" s="343">
        <f>IF(Q289="","",J289*Q289)</f>
      </c>
      <c r="V289" s="338" t="s">
        <v>233</v>
      </c>
      <c r="W289" s="344">
        <f>IF(X289="","",X289*1/afa)</f>
      </c>
      <c r="X289" s="344">
        <f>IF(Q289=0,"",ROUNDUP(AA289*euro,-3))</f>
      </c>
      <c r="Y289" s="338"/>
      <c r="Z289" s="344">
        <f>IF(Q289="","",H289*L289*Q289)</f>
      </c>
      <c r="AA289" s="322">
        <f>IF(Q289="","",Z289*afa)</f>
      </c>
      <c r="AB289" s="242" t="s">
        <v>229</v>
      </c>
      <c r="AC289" s="505"/>
    </row>
    <row r="290" spans="3:29" ht="0" customHeight="1" hidden="1">
      <c r="C290" s="1099"/>
      <c r="D290" s="520" t="s">
        <v>312</v>
      </c>
      <c r="E290" s="380" t="s">
        <v>590</v>
      </c>
      <c r="F290" s="529"/>
      <c r="G290" s="530"/>
      <c r="H290" s="529">
        <f>3.4-2*0.19</f>
        <v>3.02</v>
      </c>
      <c r="I290" s="529">
        <v>2.36</v>
      </c>
      <c r="J290" s="529">
        <f>H290*I290</f>
        <v>7.127199999999999</v>
      </c>
      <c r="K290" s="531"/>
      <c r="L290" s="532">
        <f>IF(Q290="","",N290*1/afa)</f>
      </c>
      <c r="M290" s="529"/>
      <c r="N290" s="532">
        <f>N285</f>
        <v>118</v>
      </c>
      <c r="Q290" s="334"/>
      <c r="S290" s="324" t="s">
        <v>240</v>
      </c>
      <c r="U290" s="422">
        <f>IF(Q290="","",J290*Q290)</f>
      </c>
      <c r="V290" s="416" t="s">
        <v>233</v>
      </c>
      <c r="W290" s="423">
        <f>IF(X290="","",X290*1/afa)</f>
      </c>
      <c r="X290" s="423">
        <f>IF(Q290=0,"",ROUNDUP(AA290*euro,-3))</f>
      </c>
      <c r="Y290" s="416"/>
      <c r="Z290" s="423">
        <f>IF(Q290="","",H290*L290*Q290)</f>
      </c>
      <c r="AA290" s="420">
        <f>IF(Q290="","",Z290*afa)</f>
      </c>
      <c r="AB290" s="242" t="s">
        <v>229</v>
      </c>
      <c r="AC290" s="505"/>
    </row>
    <row r="291" spans="17:29" ht="0" customHeight="1" hidden="1">
      <c r="Q291" s="323"/>
      <c r="S291" s="324"/>
      <c r="Z291" s="246">
        <f>SUM(Z285:Z290)</f>
        <v>0</v>
      </c>
      <c r="AC291" s="505"/>
    </row>
    <row r="292" spans="3:29" ht="0" customHeight="1" hidden="1">
      <c r="C292" s="1037" t="s">
        <v>313</v>
      </c>
      <c r="D292" s="533"/>
      <c r="E292" s="240" t="s">
        <v>181</v>
      </c>
      <c r="Q292" s="323"/>
      <c r="S292" s="324"/>
      <c r="U292" s="245">
        <f>SUM(U285:U290)</f>
        <v>0</v>
      </c>
      <c r="AC292" s="505"/>
    </row>
    <row r="293" spans="3:29" ht="0" customHeight="1" hidden="1">
      <c r="C293" s="1037"/>
      <c r="D293" s="533" t="s">
        <v>314</v>
      </c>
      <c r="E293" s="521" t="s">
        <v>315</v>
      </c>
      <c r="F293" s="521"/>
      <c r="G293" s="522"/>
      <c r="H293" s="521">
        <v>0.65</v>
      </c>
      <c r="I293" s="521">
        <v>2.3</v>
      </c>
      <c r="J293" s="521">
        <f>H293*I293</f>
        <v>1.4949999999999999</v>
      </c>
      <c r="K293" s="523"/>
      <c r="L293" s="524">
        <f>IF(Q293="","",N293*1/afa)</f>
      </c>
      <c r="M293" s="521"/>
      <c r="N293" s="524">
        <v>265</v>
      </c>
      <c r="Q293" s="334"/>
      <c r="S293" s="324" t="s">
        <v>240</v>
      </c>
      <c r="U293" s="335">
        <f>IF(Q293="","",J293*Q293)</f>
      </c>
      <c r="V293" s="328" t="s">
        <v>233</v>
      </c>
      <c r="W293" s="336">
        <f>IF(X293="","",X293*1/afa)</f>
      </c>
      <c r="X293" s="336">
        <f>IF(Q293=0,"",ROUNDUP(AA293*euro,-3))</f>
      </c>
      <c r="Y293" s="328"/>
      <c r="Z293" s="336">
        <f>IF(Q293="","",L293*Q293)</f>
      </c>
      <c r="AA293" s="333">
        <f>IF(Q293="","",Z293*afa)</f>
      </c>
      <c r="AB293" s="242" t="s">
        <v>229</v>
      </c>
      <c r="AC293" s="505"/>
    </row>
    <row r="294" spans="3:29" ht="0" customHeight="1" hidden="1">
      <c r="C294" s="1037"/>
      <c r="D294" s="533" t="s">
        <v>316</v>
      </c>
      <c r="E294" s="529" t="s">
        <v>317</v>
      </c>
      <c r="F294" s="529"/>
      <c r="G294" s="530"/>
      <c r="H294" s="529">
        <v>0.65</v>
      </c>
      <c r="I294" s="529">
        <v>2.3</v>
      </c>
      <c r="J294" s="529">
        <f>H294*I294</f>
        <v>1.4949999999999999</v>
      </c>
      <c r="K294" s="531"/>
      <c r="L294" s="532">
        <f>IF(Q294="","",N294*1/afa)</f>
      </c>
      <c r="M294" s="529"/>
      <c r="N294" s="532">
        <v>71</v>
      </c>
      <c r="Q294" s="334"/>
      <c r="S294" s="324" t="s">
        <v>240</v>
      </c>
      <c r="U294" s="422"/>
      <c r="V294" s="416" t="s">
        <v>318</v>
      </c>
      <c r="W294" s="423">
        <f>IF(X294="","",X294*1/afa)</f>
      </c>
      <c r="X294" s="423">
        <f>IF(Q294=0,"",ROUNDUP(AA294*euro,-3))</f>
      </c>
      <c r="Y294" s="416"/>
      <c r="Z294" s="423">
        <f>IF(Q294="","",L294*Q294)</f>
      </c>
      <c r="AA294" s="420">
        <f>IF(Q294="","",Z294*afa)</f>
      </c>
      <c r="AB294" s="242" t="s">
        <v>229</v>
      </c>
      <c r="AC294" s="505"/>
    </row>
    <row r="295" spans="3:29" ht="0" customHeight="1" hidden="1">
      <c r="C295" s="432" t="s">
        <v>521</v>
      </c>
      <c r="D295" s="533"/>
      <c r="E295" s="534" t="s">
        <v>319</v>
      </c>
      <c r="Q295" s="323"/>
      <c r="S295" s="324"/>
      <c r="AC295" s="505"/>
    </row>
    <row r="296" spans="3:29" ht="0" customHeight="1" hidden="1">
      <c r="C296" s="1036" t="s">
        <v>463</v>
      </c>
      <c r="D296" s="533" t="s">
        <v>327</v>
      </c>
      <c r="E296" s="521" t="s">
        <v>320</v>
      </c>
      <c r="F296" s="521"/>
      <c r="G296" s="522"/>
      <c r="H296" s="521">
        <v>1.32</v>
      </c>
      <c r="I296" s="521">
        <v>2.26</v>
      </c>
      <c r="J296" s="521">
        <f>H296*I296</f>
        <v>2.9832</v>
      </c>
      <c r="K296" s="523"/>
      <c r="L296" s="524">
        <f>IF(Q296="","",N296*1/afa)</f>
      </c>
      <c r="M296" s="521"/>
      <c r="N296" s="524">
        <v>98</v>
      </c>
      <c r="Q296" s="334"/>
      <c r="S296" s="324" t="s">
        <v>240</v>
      </c>
      <c r="U296" s="335"/>
      <c r="V296" s="328" t="s">
        <v>233</v>
      </c>
      <c r="W296" s="336">
        <f>IF(X296="","",X296*1/afa)</f>
      </c>
      <c r="X296" s="336">
        <f>IF(Q296=0,"",ROUNDUP(AA296*euro,-3))</f>
      </c>
      <c r="Y296" s="328"/>
      <c r="Z296" s="336">
        <f>IF(Q296="","",L296*Q296)</f>
      </c>
      <c r="AA296" s="333">
        <f>IF(Q296="","",Z296*afa)</f>
      </c>
      <c r="AB296" s="242" t="s">
        <v>229</v>
      </c>
      <c r="AC296" s="505"/>
    </row>
    <row r="297" spans="3:29" ht="0" customHeight="1" hidden="1">
      <c r="C297" s="1036"/>
      <c r="D297" s="533" t="s">
        <v>329</v>
      </c>
      <c r="E297" s="525" t="s">
        <v>321</v>
      </c>
      <c r="F297" s="525"/>
      <c r="G297" s="526"/>
      <c r="H297" s="525">
        <v>1.32</v>
      </c>
      <c r="I297" s="525">
        <v>2.26</v>
      </c>
      <c r="J297" s="525">
        <f>H297*I297</f>
        <v>2.9832</v>
      </c>
      <c r="K297" s="527"/>
      <c r="L297" s="528">
        <f>IF(Q297="","",N297*1/afa)</f>
      </c>
      <c r="M297" s="525"/>
      <c r="N297" s="528">
        <v>121</v>
      </c>
      <c r="Q297" s="334"/>
      <c r="S297" s="324" t="s">
        <v>240</v>
      </c>
      <c r="U297" s="343"/>
      <c r="V297" s="338" t="s">
        <v>233</v>
      </c>
      <c r="W297" s="344">
        <f>IF(X297="","",X297*1/afa)</f>
      </c>
      <c r="X297" s="344">
        <f>IF(Q297=0,"",ROUNDUP(AA297*euro,-3))</f>
      </c>
      <c r="Y297" s="338"/>
      <c r="Z297" s="344">
        <f>IF(Q297="","",L297*Q297)</f>
      </c>
      <c r="AA297" s="322">
        <f>IF(Q297="","",Z297*afa)</f>
      </c>
      <c r="AB297" s="242" t="s">
        <v>229</v>
      </c>
      <c r="AC297" s="505"/>
    </row>
    <row r="298" spans="3:29" ht="0" customHeight="1" hidden="1">
      <c r="C298" s="1036"/>
      <c r="D298" s="533" t="s">
        <v>346</v>
      </c>
      <c r="E298" s="525" t="s">
        <v>322</v>
      </c>
      <c r="F298" s="525"/>
      <c r="G298" s="526"/>
      <c r="H298" s="525">
        <v>1.32</v>
      </c>
      <c r="I298" s="525">
        <v>2.26</v>
      </c>
      <c r="J298" s="525">
        <f>H298*I298</f>
        <v>2.9832</v>
      </c>
      <c r="K298" s="527"/>
      <c r="L298" s="528">
        <f>IF(Q298="","",N298*1/afa)</f>
      </c>
      <c r="M298" s="525"/>
      <c r="N298" s="528">
        <v>139</v>
      </c>
      <c r="Q298" s="334"/>
      <c r="S298" s="324" t="s">
        <v>240</v>
      </c>
      <c r="U298" s="422"/>
      <c r="V298" s="416"/>
      <c r="W298" s="423">
        <f>IF(X298="","",X298*1/afa)</f>
      </c>
      <c r="X298" s="423">
        <f>IF(Q298=0,"",ROUNDUP(AA298*euro,-3))</f>
      </c>
      <c r="Y298" s="416"/>
      <c r="Z298" s="423">
        <f>IF(Q298="","",L298*Q298)</f>
      </c>
      <c r="AA298" s="420">
        <f>IF(Q298="","",Z298*afa)</f>
      </c>
      <c r="AB298" s="242" t="s">
        <v>229</v>
      </c>
      <c r="AC298" s="505"/>
    </row>
    <row r="299" spans="3:29" ht="0" customHeight="1" hidden="1">
      <c r="C299" s="1036"/>
      <c r="E299" s="525"/>
      <c r="F299" s="525"/>
      <c r="G299" s="526"/>
      <c r="H299" s="525"/>
      <c r="I299" s="525"/>
      <c r="J299" s="525"/>
      <c r="K299" s="527"/>
      <c r="L299" s="528"/>
      <c r="M299" s="525"/>
      <c r="N299" s="528"/>
      <c r="Q299" s="323"/>
      <c r="S299" s="324"/>
      <c r="AC299" s="505"/>
    </row>
    <row r="300" spans="3:29" ht="0" customHeight="1" hidden="1">
      <c r="C300" s="1036"/>
      <c r="D300" s="533" t="s">
        <v>406</v>
      </c>
      <c r="E300" s="525" t="s">
        <v>323</v>
      </c>
      <c r="F300" s="525"/>
      <c r="G300" s="526"/>
      <c r="H300" s="525">
        <v>1.32</v>
      </c>
      <c r="I300" s="525">
        <v>2.26</v>
      </c>
      <c r="J300" s="525">
        <f>H300*I300</f>
        <v>2.9832</v>
      </c>
      <c r="K300" s="527"/>
      <c r="L300" s="528">
        <f>IF(Q300="","",N300*1/afa)</f>
      </c>
      <c r="M300" s="525"/>
      <c r="N300" s="528">
        <v>121</v>
      </c>
      <c r="Q300" s="334"/>
      <c r="S300" s="324" t="s">
        <v>240</v>
      </c>
      <c r="U300" s="335"/>
      <c r="V300" s="328"/>
      <c r="W300" s="336">
        <f>IF(X300="","",X300*1/afa)</f>
      </c>
      <c r="X300" s="336">
        <f>IF(Q300=0,"",ROUNDUP(AA300*euro,-3))</f>
      </c>
      <c r="Y300" s="328"/>
      <c r="Z300" s="336">
        <f>IF(Q300="","",L300*Q300)</f>
      </c>
      <c r="AA300" s="333">
        <f>IF(Q300="","",Z300*afa)</f>
      </c>
      <c r="AB300" s="242" t="s">
        <v>229</v>
      </c>
      <c r="AC300" s="505"/>
    </row>
    <row r="301" spans="3:29" ht="0" customHeight="1" hidden="1">
      <c r="C301" s="1036"/>
      <c r="D301" s="533" t="s">
        <v>408</v>
      </c>
      <c r="E301" s="525" t="s">
        <v>324</v>
      </c>
      <c r="F301" s="525"/>
      <c r="G301" s="526"/>
      <c r="H301" s="525">
        <v>1.32</v>
      </c>
      <c r="I301" s="525">
        <v>2.26</v>
      </c>
      <c r="J301" s="525">
        <f>H301*I301</f>
        <v>2.9832</v>
      </c>
      <c r="K301" s="527"/>
      <c r="L301" s="528">
        <f>IF(Q301="","",N301*1/afa)</f>
      </c>
      <c r="M301" s="525"/>
      <c r="N301" s="528">
        <v>146</v>
      </c>
      <c r="Q301" s="334"/>
      <c r="S301" s="324" t="s">
        <v>240</v>
      </c>
      <c r="U301" s="343"/>
      <c r="V301" s="338"/>
      <c r="W301" s="344">
        <f>IF(X301="","",X301*1/afa)</f>
      </c>
      <c r="X301" s="344">
        <f>IF(Q301=0,"",ROUNDUP(AA301*euro,-3))</f>
      </c>
      <c r="Y301" s="338"/>
      <c r="Z301" s="344">
        <f>IF(Q301="","",L301*Q301)</f>
      </c>
      <c r="AA301" s="322">
        <f>IF(Q301="","",Z301*afa)</f>
      </c>
      <c r="AB301" s="242" t="s">
        <v>229</v>
      </c>
      <c r="AC301" s="505"/>
    </row>
    <row r="302" spans="3:29" ht="0" customHeight="1" hidden="1">
      <c r="C302" s="1036"/>
      <c r="D302" s="533" t="s">
        <v>409</v>
      </c>
      <c r="E302" s="525" t="s">
        <v>325</v>
      </c>
      <c r="F302" s="525"/>
      <c r="G302" s="526"/>
      <c r="H302" s="525">
        <v>1.32</v>
      </c>
      <c r="I302" s="525">
        <v>2.26</v>
      </c>
      <c r="J302" s="525">
        <f>H302*I302</f>
        <v>2.9832</v>
      </c>
      <c r="K302" s="527"/>
      <c r="L302" s="528">
        <f>IF(Q302="","",N302*1/afa)</f>
      </c>
      <c r="M302" s="525"/>
      <c r="N302" s="528">
        <v>188</v>
      </c>
      <c r="Q302" s="334"/>
      <c r="S302" s="324" t="s">
        <v>240</v>
      </c>
      <c r="U302" s="422"/>
      <c r="V302" s="416"/>
      <c r="W302" s="423">
        <f>IF(X302="","",X302*1/afa)</f>
      </c>
      <c r="X302" s="423">
        <f>IF(Q302=0,"",ROUNDUP(AA302*euro,-3))</f>
      </c>
      <c r="Y302" s="416"/>
      <c r="Z302" s="423">
        <f>IF(Q302="","",L302*Q302)</f>
      </c>
      <c r="AA302" s="420">
        <f>IF(Q302="","",Z302*afa)</f>
      </c>
      <c r="AB302" s="242" t="s">
        <v>229</v>
      </c>
      <c r="AC302" s="505"/>
    </row>
    <row r="303" spans="3:29" ht="0" customHeight="1" hidden="1">
      <c r="C303" s="1036"/>
      <c r="E303" s="525"/>
      <c r="F303" s="525"/>
      <c r="G303" s="526"/>
      <c r="H303" s="525"/>
      <c r="I303" s="525"/>
      <c r="J303" s="525"/>
      <c r="K303" s="527"/>
      <c r="L303" s="528"/>
      <c r="M303" s="525"/>
      <c r="N303" s="528"/>
      <c r="Q303" s="323"/>
      <c r="S303" s="324"/>
      <c r="AC303" s="505"/>
    </row>
    <row r="304" spans="3:29" ht="0" customHeight="1" hidden="1">
      <c r="C304" s="1036"/>
      <c r="D304" s="533" t="s">
        <v>410</v>
      </c>
      <c r="E304" s="525" t="s">
        <v>326</v>
      </c>
      <c r="F304" s="525"/>
      <c r="G304" s="526"/>
      <c r="H304" s="525">
        <v>1.32</v>
      </c>
      <c r="I304" s="525">
        <v>2.26</v>
      </c>
      <c r="J304" s="525">
        <f>H304*I304</f>
        <v>2.9832</v>
      </c>
      <c r="K304" s="527"/>
      <c r="L304" s="528">
        <f>IF(Q304="","",N304*1/afa)</f>
      </c>
      <c r="M304" s="525"/>
      <c r="N304" s="528">
        <v>139</v>
      </c>
      <c r="Q304" s="334"/>
      <c r="S304" s="324" t="s">
        <v>240</v>
      </c>
      <c r="U304" s="335"/>
      <c r="V304" s="328"/>
      <c r="W304" s="336">
        <f>IF(X304="","",X304*1/afa)</f>
      </c>
      <c r="X304" s="336">
        <f>IF(Q304=0,"",ROUNDUP(AA304*euro,-3))</f>
      </c>
      <c r="Y304" s="328"/>
      <c r="Z304" s="336">
        <f>IF(Q304="","",L304*Q304)</f>
      </c>
      <c r="AA304" s="333">
        <f>IF(Q304="","",Z304*afa)</f>
      </c>
      <c r="AB304" s="242" t="s">
        <v>229</v>
      </c>
      <c r="AC304" s="505"/>
    </row>
    <row r="305" spans="3:29" ht="0" customHeight="1" hidden="1">
      <c r="C305" s="1036"/>
      <c r="D305" s="533" t="s">
        <v>411</v>
      </c>
      <c r="E305" s="525" t="s">
        <v>328</v>
      </c>
      <c r="F305" s="525"/>
      <c r="G305" s="526"/>
      <c r="H305" s="525">
        <v>1.32</v>
      </c>
      <c r="I305" s="525">
        <v>2.26</v>
      </c>
      <c r="J305" s="525">
        <f>H305*I305</f>
        <v>2.9832</v>
      </c>
      <c r="K305" s="527"/>
      <c r="L305" s="528">
        <f>IF(Q305="","",N305*1/afa)</f>
      </c>
      <c r="M305" s="525"/>
      <c r="N305" s="528">
        <v>188</v>
      </c>
      <c r="Q305" s="334"/>
      <c r="S305" s="324" t="s">
        <v>240</v>
      </c>
      <c r="U305" s="343"/>
      <c r="V305" s="338"/>
      <c r="W305" s="344">
        <f>IF(X305="","",X305*1/afa)</f>
      </c>
      <c r="X305" s="344">
        <f>IF(Q305=0,"",ROUNDUP(AA305*euro,-3))</f>
      </c>
      <c r="Y305" s="338"/>
      <c r="Z305" s="344">
        <f>IF(Q305="","",L305*Q305)</f>
      </c>
      <c r="AA305" s="322">
        <f>IF(Q305="","",Z305*afa)</f>
      </c>
      <c r="AB305" s="242" t="s">
        <v>229</v>
      </c>
      <c r="AC305" s="505"/>
    </row>
    <row r="306" spans="3:29" ht="0" customHeight="1" hidden="1">
      <c r="C306" s="1036"/>
      <c r="D306" s="533" t="s">
        <v>421</v>
      </c>
      <c r="E306" s="529" t="s">
        <v>330</v>
      </c>
      <c r="F306" s="529"/>
      <c r="G306" s="530"/>
      <c r="H306" s="529">
        <v>1.32</v>
      </c>
      <c r="I306" s="529">
        <v>2.26</v>
      </c>
      <c r="J306" s="529">
        <f>H306*I306</f>
        <v>2.9832</v>
      </c>
      <c r="K306" s="531"/>
      <c r="L306" s="532">
        <f>IF(Q306="","",N306*1/afa)</f>
      </c>
      <c r="M306" s="529"/>
      <c r="N306" s="532">
        <v>202</v>
      </c>
      <c r="Q306" s="334"/>
      <c r="S306" s="324" t="s">
        <v>240</v>
      </c>
      <c r="U306" s="422"/>
      <c r="V306" s="416"/>
      <c r="W306" s="423">
        <f>IF(X306="","",X306*1/afa)</f>
      </c>
      <c r="X306" s="423">
        <f>IF(Q306=0,"",ROUNDUP(AA306*euro,-3))</f>
      </c>
      <c r="Y306" s="416"/>
      <c r="Z306" s="423">
        <f>IF(Q306="","",L306*Q306)</f>
      </c>
      <c r="AA306" s="420">
        <f>IF(Q306="","",Z306*afa)</f>
      </c>
      <c r="AB306" s="242" t="s">
        <v>229</v>
      </c>
      <c r="AC306" s="505"/>
    </row>
    <row r="307" spans="5:29" ht="0" customHeight="1" hidden="1">
      <c r="E307" s="534" t="s">
        <v>331</v>
      </c>
      <c r="F307" s="377" t="s">
        <v>518</v>
      </c>
      <c r="I307" s="377" t="s">
        <v>518</v>
      </c>
      <c r="Q307" s="323"/>
      <c r="S307" s="324"/>
      <c r="AC307" s="505"/>
    </row>
    <row r="308" spans="1:31" s="449" customFormat="1" ht="12.75" customHeight="1">
      <c r="A308" s="835"/>
      <c r="C308" s="459"/>
      <c r="D308" s="535" t="s">
        <v>217</v>
      </c>
      <c r="E308" s="1055" t="s">
        <v>474</v>
      </c>
      <c r="F308" s="1056"/>
      <c r="G308" s="1056"/>
      <c r="H308" s="464">
        <v>1</v>
      </c>
      <c r="I308" s="464">
        <v>1</v>
      </c>
      <c r="J308" s="464">
        <f>H308*I308</f>
        <v>1</v>
      </c>
      <c r="K308" s="467"/>
      <c r="L308" s="468">
        <f>IF(Q308="","",N308*1/afa)</f>
      </c>
      <c r="M308" s="464"/>
      <c r="N308" s="468">
        <v>26</v>
      </c>
      <c r="P308" s="454"/>
      <c r="Q308" s="469"/>
      <c r="R308" s="837"/>
      <c r="S308" s="838" t="s">
        <v>240</v>
      </c>
      <c r="U308" s="470"/>
      <c r="V308" s="465"/>
      <c r="W308" s="471">
        <f>IF(X308="","",X308*1/afa)</f>
      </c>
      <c r="X308" s="471">
        <f>IF(Q308=0,"",ROUNDUP(AA308*euro,-3))</f>
      </c>
      <c r="Y308" s="465"/>
      <c r="Z308" s="471">
        <f>IF(Q308="","",L308*Q308)</f>
      </c>
      <c r="AA308" s="468">
        <f>IF(Q308="","",Z308*afa)</f>
      </c>
      <c r="AB308" s="451" t="s">
        <v>229</v>
      </c>
      <c r="AC308" s="839"/>
      <c r="AE308" s="458"/>
    </row>
    <row r="309" spans="1:31" s="449" customFormat="1" ht="12.75" customHeight="1">
      <c r="A309" s="835"/>
      <c r="C309" s="459"/>
      <c r="D309" s="535" t="s">
        <v>218</v>
      </c>
      <c r="E309" s="1034" t="s">
        <v>475</v>
      </c>
      <c r="F309" s="1035"/>
      <c r="G309" s="1035"/>
      <c r="H309" s="473">
        <v>0</v>
      </c>
      <c r="I309" s="473">
        <v>0</v>
      </c>
      <c r="J309" s="473">
        <f>H309*I309</f>
        <v>0</v>
      </c>
      <c r="K309" s="476"/>
      <c r="L309" s="477">
        <f>IF(Q309="","",N309*1/afa)</f>
      </c>
      <c r="M309" s="473"/>
      <c r="N309" s="477">
        <v>27</v>
      </c>
      <c r="P309" s="454"/>
      <c r="Q309" s="469"/>
      <c r="R309" s="837"/>
      <c r="S309" s="838" t="s">
        <v>240</v>
      </c>
      <c r="U309" s="478"/>
      <c r="V309" s="474"/>
      <c r="W309" s="479">
        <f>IF(X309="","",X309*1/afa)</f>
      </c>
      <c r="X309" s="479">
        <f>IF(Q309=0,"",ROUNDUP(AA309*euro,-3))</f>
      </c>
      <c r="Y309" s="474"/>
      <c r="Z309" s="479">
        <f>IF(Q309="","",L309*Q309)</f>
      </c>
      <c r="AA309" s="477">
        <f>IF(Q309="","",Z309*afa)</f>
      </c>
      <c r="AB309" s="451" t="s">
        <v>229</v>
      </c>
      <c r="AC309" s="839"/>
      <c r="AE309" s="458"/>
    </row>
    <row r="310" spans="1:31" s="449" customFormat="1" ht="12.75" customHeight="1">
      <c r="A310" s="835"/>
      <c r="C310" s="459"/>
      <c r="D310" s="535" t="s">
        <v>310</v>
      </c>
      <c r="E310" s="1057" t="s">
        <v>692</v>
      </c>
      <c r="F310" s="1058"/>
      <c r="G310" s="1059"/>
      <c r="H310" s="848"/>
      <c r="I310" s="481">
        <v>2.8</v>
      </c>
      <c r="J310" s="481">
        <f>H310*I310</f>
        <v>0</v>
      </c>
      <c r="K310" s="484"/>
      <c r="L310" s="485">
        <f>IF(Q310="","",N310*1/afa*(-H310))</f>
      </c>
      <c r="M310" s="481"/>
      <c r="N310" s="485">
        <v>7.6</v>
      </c>
      <c r="P310" s="454"/>
      <c r="Q310" s="469"/>
      <c r="R310" s="837"/>
      <c r="S310" s="838" t="s">
        <v>240</v>
      </c>
      <c r="U310" s="486"/>
      <c r="V310" s="482"/>
      <c r="W310" s="487">
        <f>IF(X310="","",X310*1/afa)</f>
      </c>
      <c r="X310" s="487">
        <f>IF(Q310=0,"",ROUNDUP(AA310*euro,-3))</f>
      </c>
      <c r="Y310" s="482"/>
      <c r="Z310" s="487">
        <f>IF(Q310="","",L310*Q310)</f>
      </c>
      <c r="AA310" s="485">
        <f>IF(Q310="","",Z310*afa)</f>
      </c>
      <c r="AB310" s="451" t="s">
        <v>229</v>
      </c>
      <c r="AC310" s="839"/>
      <c r="AE310" s="458"/>
    </row>
    <row r="311" spans="1:31" s="449" customFormat="1" ht="19.5" customHeight="1">
      <c r="A311" s="835"/>
      <c r="C311" s="459"/>
      <c r="E311" s="836" t="s">
        <v>335</v>
      </c>
      <c r="F311" s="849" t="s">
        <v>521</v>
      </c>
      <c r="G311" s="451"/>
      <c r="I311" s="849" t="s">
        <v>521</v>
      </c>
      <c r="K311" s="452"/>
      <c r="L311" s="458"/>
      <c r="N311" s="458"/>
      <c r="P311" s="454"/>
      <c r="Q311" s="461"/>
      <c r="R311" s="837"/>
      <c r="S311" s="838"/>
      <c r="U311" s="456"/>
      <c r="V311" s="451"/>
      <c r="W311" s="457"/>
      <c r="X311" s="457"/>
      <c r="Y311" s="451"/>
      <c r="Z311" s="457"/>
      <c r="AA311" s="458"/>
      <c r="AB311" s="451"/>
      <c r="AC311" s="839"/>
      <c r="AE311" s="458"/>
    </row>
    <row r="312" spans="1:31" s="449" customFormat="1" ht="12.75" customHeight="1">
      <c r="A312" s="835"/>
      <c r="C312" s="459"/>
      <c r="D312" s="536" t="s">
        <v>217</v>
      </c>
      <c r="E312" s="1055" t="s">
        <v>336</v>
      </c>
      <c r="F312" s="1056"/>
      <c r="G312" s="1056"/>
      <c r="H312" s="846" t="s">
        <v>479</v>
      </c>
      <c r="I312" s="464"/>
      <c r="J312" s="464"/>
      <c r="K312" s="467"/>
      <c r="L312" s="468">
        <f>IF(Q312="","",N312*1/afa)</f>
      </c>
      <c r="M312" s="464"/>
      <c r="N312" s="468">
        <v>36</v>
      </c>
      <c r="P312" s="454"/>
      <c r="Q312" s="469"/>
      <c r="R312" s="837"/>
      <c r="S312" s="838" t="s">
        <v>240</v>
      </c>
      <c r="U312" s="470"/>
      <c r="V312" s="465"/>
      <c r="W312" s="471">
        <f>IF(X312="","",X312*1/afa)</f>
      </c>
      <c r="X312" s="471">
        <f>IF(Q312=0,"",ROUNDUP(AA312*euro,-3))</f>
      </c>
      <c r="Y312" s="465"/>
      <c r="Z312" s="471">
        <f>IF(Q312="","",L312*Q312)</f>
      </c>
      <c r="AA312" s="468">
        <f>IF(Q312="","",Z312*afa)</f>
      </c>
      <c r="AB312" s="451" t="s">
        <v>229</v>
      </c>
      <c r="AC312" s="839"/>
      <c r="AE312" s="458"/>
    </row>
    <row r="313" spans="1:31" s="449" customFormat="1" ht="12.75" customHeight="1">
      <c r="A313" s="835"/>
      <c r="C313" s="459"/>
      <c r="D313" s="536" t="s">
        <v>218</v>
      </c>
      <c r="E313" s="1034" t="s">
        <v>464</v>
      </c>
      <c r="F313" s="1035"/>
      <c r="G313" s="1035"/>
      <c r="H313" s="847" t="s">
        <v>480</v>
      </c>
      <c r="I313" s="473"/>
      <c r="J313" s="473"/>
      <c r="K313" s="476"/>
      <c r="L313" s="477">
        <f>IF(Q313="","",N313*1/afa)</f>
      </c>
      <c r="M313" s="473"/>
      <c r="N313" s="477">
        <v>62</v>
      </c>
      <c r="P313" s="454"/>
      <c r="Q313" s="469"/>
      <c r="R313" s="837"/>
      <c r="S313" s="838" t="s">
        <v>240</v>
      </c>
      <c r="U313" s="478"/>
      <c r="V313" s="474"/>
      <c r="W313" s="479">
        <f>IF(X313="","",X313*1/afa)</f>
      </c>
      <c r="X313" s="479">
        <f>IF(Q313=0,"",ROUNDUP(AA313*euro,-3))</f>
      </c>
      <c r="Y313" s="474"/>
      <c r="Z313" s="479">
        <f>IF(Q313="","",L313*Q313)</f>
      </c>
      <c r="AA313" s="477">
        <f>IF(Q313="","",Z313*afa)</f>
      </c>
      <c r="AB313" s="451" t="s">
        <v>229</v>
      </c>
      <c r="AC313" s="839"/>
      <c r="AE313" s="458"/>
    </row>
    <row r="314" spans="1:31" s="449" customFormat="1" ht="12.75" customHeight="1">
      <c r="A314" s="835"/>
      <c r="C314" s="459"/>
      <c r="D314" s="536" t="s">
        <v>310</v>
      </c>
      <c r="E314" s="1034" t="s">
        <v>522</v>
      </c>
      <c r="F314" s="1035"/>
      <c r="G314" s="1035"/>
      <c r="H314" s="847" t="s">
        <v>481</v>
      </c>
      <c r="I314" s="473"/>
      <c r="J314" s="473"/>
      <c r="K314" s="476"/>
      <c r="L314" s="477">
        <f>IF(Q314="","",N314*1/afa)</f>
      </c>
      <c r="M314" s="473"/>
      <c r="N314" s="477">
        <v>55</v>
      </c>
      <c r="P314" s="454"/>
      <c r="Q314" s="469"/>
      <c r="R314" s="837"/>
      <c r="S314" s="838" t="s">
        <v>240</v>
      </c>
      <c r="U314" s="478"/>
      <c r="V314" s="474"/>
      <c r="W314" s="479">
        <f>IF(X314="","",X314*1/afa)</f>
      </c>
      <c r="X314" s="479">
        <f>IF(Q314=0,"",ROUNDUP(AA314*euro,-3))</f>
      </c>
      <c r="Y314" s="474"/>
      <c r="Z314" s="479">
        <f>IF(Q314="","",L314*Q314)</f>
      </c>
      <c r="AA314" s="477">
        <f>IF(Q314="","",Z314*afa)</f>
      </c>
      <c r="AB314" s="451" t="s">
        <v>229</v>
      </c>
      <c r="AC314" s="839"/>
      <c r="AE314" s="458"/>
    </row>
    <row r="315" spans="1:31" s="449" customFormat="1" ht="12.75" customHeight="1">
      <c r="A315" s="835"/>
      <c r="C315" s="459"/>
      <c r="D315" s="536" t="s">
        <v>311</v>
      </c>
      <c r="E315" s="1034" t="s">
        <v>523</v>
      </c>
      <c r="F315" s="1035"/>
      <c r="G315" s="1035"/>
      <c r="H315" s="847" t="s">
        <v>482</v>
      </c>
      <c r="I315" s="473"/>
      <c r="J315" s="473"/>
      <c r="K315" s="476"/>
      <c r="L315" s="477">
        <f>IF(Q315="","",N315*1/afa)</f>
      </c>
      <c r="M315" s="473"/>
      <c r="N315" s="477">
        <v>82</v>
      </c>
      <c r="P315" s="454"/>
      <c r="Q315" s="469"/>
      <c r="R315" s="837"/>
      <c r="S315" s="838" t="s">
        <v>240</v>
      </c>
      <c r="U315" s="478"/>
      <c r="V315" s="474"/>
      <c r="W315" s="479">
        <f>IF(X315="","",X315*1/afa)</f>
      </c>
      <c r="X315" s="479">
        <f>IF(Q315=0,"",ROUNDUP(AA315*euro,-3))</f>
      </c>
      <c r="Y315" s="474"/>
      <c r="Z315" s="479">
        <f>IF(Q315="","",L315*Q315)</f>
      </c>
      <c r="AA315" s="477">
        <f>IF(Q315="","",Z315*afa)</f>
      </c>
      <c r="AB315" s="451" t="s">
        <v>229</v>
      </c>
      <c r="AC315" s="839"/>
      <c r="AE315" s="458"/>
    </row>
    <row r="316" spans="1:31" s="449" customFormat="1" ht="23.25" customHeight="1">
      <c r="A316" s="835"/>
      <c r="C316" s="459"/>
      <c r="D316" s="536" t="s">
        <v>312</v>
      </c>
      <c r="E316" s="1063" t="s">
        <v>337</v>
      </c>
      <c r="F316" s="1064"/>
      <c r="G316" s="1064"/>
      <c r="H316" s="481"/>
      <c r="I316" s="481"/>
      <c r="J316" s="481"/>
      <c r="K316" s="484"/>
      <c r="L316" s="485">
        <f>IF(Q316="","",N316*1/afa)</f>
      </c>
      <c r="M316" s="481"/>
      <c r="N316" s="485">
        <v>120</v>
      </c>
      <c r="P316" s="454"/>
      <c r="Q316" s="469"/>
      <c r="R316" s="837"/>
      <c r="S316" s="838" t="s">
        <v>240</v>
      </c>
      <c r="U316" s="486"/>
      <c r="V316" s="482"/>
      <c r="W316" s="487">
        <f>IF(X316="","",X316*1/afa)</f>
      </c>
      <c r="X316" s="487">
        <f>IF(Q316=0,"",ROUNDUP(AA316*euro,-3))</f>
      </c>
      <c r="Y316" s="482"/>
      <c r="Z316" s="487">
        <f>IF(Q316="","",L316*Q316)</f>
      </c>
      <c r="AA316" s="485">
        <f>IF(Q316="","",Z316*afa)</f>
      </c>
      <c r="AB316" s="451" t="s">
        <v>229</v>
      </c>
      <c r="AC316" s="839"/>
      <c r="AE316" s="458"/>
    </row>
    <row r="317" spans="1:31" s="449" customFormat="1" ht="12.75" customHeight="1">
      <c r="A317" s="835"/>
      <c r="C317" s="459"/>
      <c r="D317" s="850"/>
      <c r="E317" s="851"/>
      <c r="G317" s="451"/>
      <c r="K317" s="452"/>
      <c r="L317" s="458"/>
      <c r="N317" s="458"/>
      <c r="P317" s="454"/>
      <c r="Q317" s="461"/>
      <c r="R317" s="837"/>
      <c r="S317" s="838"/>
      <c r="U317" s="456"/>
      <c r="V317" s="451"/>
      <c r="W317" s="457"/>
      <c r="X317" s="457"/>
      <c r="Y317" s="451"/>
      <c r="Z317" s="457"/>
      <c r="AA317" s="458"/>
      <c r="AB317" s="451"/>
      <c r="AC317" s="839"/>
      <c r="AE317" s="458"/>
    </row>
    <row r="318" spans="1:31" s="449" customFormat="1" ht="12.75" customHeight="1">
      <c r="A318" s="835"/>
      <c r="C318" s="459"/>
      <c r="D318" s="538" t="s">
        <v>217</v>
      </c>
      <c r="E318" s="846" t="s">
        <v>338</v>
      </c>
      <c r="F318" s="464"/>
      <c r="G318" s="465"/>
      <c r="H318" s="464"/>
      <c r="I318" s="464"/>
      <c r="J318" s="464"/>
      <c r="K318" s="467"/>
      <c r="L318" s="468">
        <f>IF(Q318="","",N318*1/afa)</f>
      </c>
      <c r="M318" s="464"/>
      <c r="N318" s="468">
        <v>82</v>
      </c>
      <c r="P318" s="454"/>
      <c r="Q318" s="469"/>
      <c r="R318" s="837"/>
      <c r="S318" s="838" t="s">
        <v>240</v>
      </c>
      <c r="U318" s="470">
        <f>IF(Q318="","",J318*Q318)</f>
      </c>
      <c r="V318" s="465"/>
      <c r="W318" s="471">
        <f>IF(X318="","",X318*1/afa)</f>
      </c>
      <c r="X318" s="471">
        <f>IF(Q318=0,"",ROUNDUP(AA318*euro,-3))</f>
      </c>
      <c r="Y318" s="465"/>
      <c r="Z318" s="471">
        <f>IF(Q318="","",L318*Q318)</f>
      </c>
      <c r="AA318" s="468">
        <f>IF(Q318="","",Z318*afa)</f>
      </c>
      <c r="AB318" s="451" t="s">
        <v>229</v>
      </c>
      <c r="AC318" s="839"/>
      <c r="AE318" s="458"/>
    </row>
    <row r="319" spans="1:31" s="449" customFormat="1" ht="24" customHeight="1">
      <c r="A319" s="835"/>
      <c r="C319" s="459"/>
      <c r="D319" s="538" t="s">
        <v>218</v>
      </c>
      <c r="E319" s="847" t="s">
        <v>339</v>
      </c>
      <c r="F319" s="473"/>
      <c r="G319" s="474"/>
      <c r="H319" s="473"/>
      <c r="I319" s="473"/>
      <c r="J319" s="473"/>
      <c r="K319" s="476"/>
      <c r="L319" s="477">
        <f>IF(Q319="","",N319*1/afa)</f>
      </c>
      <c r="M319" s="473"/>
      <c r="N319" s="477">
        <v>393</v>
      </c>
      <c r="P319" s="454"/>
      <c r="Q319" s="469"/>
      <c r="R319" s="837"/>
      <c r="S319" s="838" t="s">
        <v>240</v>
      </c>
      <c r="U319" s="478">
        <f>IF(Q319="","",J319*Q319)</f>
      </c>
      <c r="V319" s="474"/>
      <c r="W319" s="479">
        <f>IF(X319="","",X319*1/afa)</f>
      </c>
      <c r="X319" s="479">
        <f>IF(Q319=0,"",ROUNDUP(AA319*euro,-3))</f>
      </c>
      <c r="Y319" s="474"/>
      <c r="Z319" s="479">
        <f>IF(Q319="","",L319*Q319)</f>
      </c>
      <c r="AA319" s="477">
        <f>IF(Q319="","",Z319*afa)</f>
      </c>
      <c r="AB319" s="451" t="s">
        <v>229</v>
      </c>
      <c r="AC319" s="839"/>
      <c r="AE319" s="458"/>
    </row>
    <row r="320" spans="1:31" s="449" customFormat="1" ht="12.75" customHeight="1">
      <c r="A320" s="835"/>
      <c r="C320" s="459"/>
      <c r="D320" s="538" t="s">
        <v>310</v>
      </c>
      <c r="E320" s="844" t="s">
        <v>340</v>
      </c>
      <c r="F320" s="481"/>
      <c r="G320" s="482"/>
      <c r="H320" s="481"/>
      <c r="I320" s="481"/>
      <c r="J320" s="481"/>
      <c r="K320" s="484"/>
      <c r="L320" s="485">
        <f>IF(Q320="","",N320*1/afa)</f>
      </c>
      <c r="M320" s="481"/>
      <c r="N320" s="485">
        <v>0</v>
      </c>
      <c r="P320" s="454"/>
      <c r="Q320" s="469"/>
      <c r="R320" s="837"/>
      <c r="S320" s="838" t="s">
        <v>240</v>
      </c>
      <c r="U320" s="486">
        <f>IF(Q320="","",J320*Q320)</f>
      </c>
      <c r="V320" s="482"/>
      <c r="W320" s="487">
        <f>IF(X320="","",X320*1/afa)</f>
      </c>
      <c r="X320" s="487">
        <f>IF(Q320=0,"",ROUNDUP(AA320*euro,-3))</f>
      </c>
      <c r="Y320" s="482"/>
      <c r="Z320" s="487">
        <f>IF(Q320="","",L320*Q320)</f>
      </c>
      <c r="AA320" s="485">
        <f>IF(Q320="","",Z320*afa)</f>
      </c>
      <c r="AB320" s="451" t="s">
        <v>229</v>
      </c>
      <c r="AC320" s="839"/>
      <c r="AE320" s="458"/>
    </row>
    <row r="321" spans="3:31" ht="6" customHeight="1">
      <c r="C321" s="539"/>
      <c r="D321" s="251"/>
      <c r="E321" s="540"/>
      <c r="F321" s="540"/>
      <c r="G321" s="541"/>
      <c r="H321" s="540"/>
      <c r="I321" s="540"/>
      <c r="J321" s="540"/>
      <c r="K321" s="542"/>
      <c r="L321" s="543"/>
      <c r="M321" s="540"/>
      <c r="N321" s="543"/>
      <c r="O321" s="540"/>
      <c r="Q321" s="405"/>
      <c r="S321" s="324"/>
      <c r="U321" s="544"/>
      <c r="V321" s="541"/>
      <c r="W321" s="545"/>
      <c r="X321" s="545"/>
      <c r="Y321" s="541"/>
      <c r="Z321" s="545"/>
      <c r="AA321" s="543"/>
      <c r="AB321" s="541"/>
      <c r="AE321" s="257"/>
    </row>
    <row r="322" spans="12:29" ht="12.75" customHeight="1">
      <c r="L322" s="1009" t="s">
        <v>711</v>
      </c>
      <c r="M322" s="1009"/>
      <c r="N322" s="376"/>
      <c r="Q322" s="405"/>
      <c r="S322" s="324"/>
      <c r="AC322" s="505"/>
    </row>
    <row r="323" spans="3:29" ht="48.75" customHeight="1">
      <c r="C323" s="377" t="s">
        <v>518</v>
      </c>
      <c r="D323" s="1117" t="s">
        <v>699</v>
      </c>
      <c r="E323" s="1117"/>
      <c r="F323" s="1117"/>
      <c r="G323" s="1117"/>
      <c r="H323" s="1117"/>
      <c r="I323" s="1117"/>
      <c r="J323" s="1117"/>
      <c r="K323" s="1117"/>
      <c r="L323" s="1117"/>
      <c r="M323" s="1117"/>
      <c r="N323" s="1117"/>
      <c r="O323" s="1117"/>
      <c r="Q323" s="405"/>
      <c r="S323" s="324"/>
      <c r="AC323" s="505"/>
    </row>
    <row r="324" spans="3:29" ht="21" customHeight="1">
      <c r="C324" s="1017" t="s">
        <v>517</v>
      </c>
      <c r="D324" s="240" t="s">
        <v>483</v>
      </c>
      <c r="N324" s="243" t="s">
        <v>341</v>
      </c>
      <c r="Q324" s="323"/>
      <c r="S324" s="324"/>
      <c r="W324" s="246" t="s">
        <v>342</v>
      </c>
      <c r="X324" s="246" t="s">
        <v>247</v>
      </c>
      <c r="AC324" s="505"/>
    </row>
    <row r="325" spans="3:29" ht="12.75" customHeight="1">
      <c r="C325" s="1017"/>
      <c r="D325" s="429" t="s">
        <v>217</v>
      </c>
      <c r="E325" s="327" t="s">
        <v>343</v>
      </c>
      <c r="F325" s="327"/>
      <c r="G325" s="328"/>
      <c r="H325" s="327">
        <v>1.32</v>
      </c>
      <c r="I325" s="327">
        <v>2.75</v>
      </c>
      <c r="J325" s="327">
        <f>H325*I325</f>
        <v>3.6300000000000003</v>
      </c>
      <c r="K325" s="332"/>
      <c r="L325" s="333">
        <f>IF(Q325="","",N325*1/afa)</f>
      </c>
      <c r="M325" s="327"/>
      <c r="N325" s="333">
        <v>106</v>
      </c>
      <c r="Q325" s="334"/>
      <c r="S325" s="324" t="s">
        <v>240</v>
      </c>
      <c r="U325" s="335"/>
      <c r="V325" s="328"/>
      <c r="W325" s="336">
        <f>IF(X325="","",X325*1/afa)</f>
      </c>
      <c r="X325" s="336">
        <f>IF(Q325=0,"",ROUNDUP(AA325*euro,-3))</f>
      </c>
      <c r="Y325" s="328"/>
      <c r="Z325" s="336">
        <f>IF(Q325="","",L325*Q325)</f>
      </c>
      <c r="AA325" s="333">
        <f>IF(Q325="","",Z325*afa)</f>
      </c>
      <c r="AB325" s="328" t="s">
        <v>229</v>
      </c>
      <c r="AC325" s="505"/>
    </row>
    <row r="326" spans="3:29" ht="12.75" customHeight="1">
      <c r="C326" s="1017"/>
      <c r="D326" s="429" t="s">
        <v>218</v>
      </c>
      <c r="E326" s="288" t="s">
        <v>344</v>
      </c>
      <c r="F326" s="288"/>
      <c r="G326" s="338"/>
      <c r="H326" s="288">
        <v>1.32</v>
      </c>
      <c r="I326" s="288">
        <v>2.45</v>
      </c>
      <c r="J326" s="288">
        <f>H326*I326</f>
        <v>3.2340000000000004</v>
      </c>
      <c r="K326" s="342"/>
      <c r="L326" s="322">
        <f>IF(Q326="","",N326*1/afa)</f>
      </c>
      <c r="M326" s="288"/>
      <c r="N326" s="322">
        <v>58</v>
      </c>
      <c r="Q326" s="334"/>
      <c r="S326" s="324" t="s">
        <v>240</v>
      </c>
      <c r="U326" s="343"/>
      <c r="V326" s="338"/>
      <c r="W326" s="344">
        <f>IF(X326="","",X326*1/afa)</f>
      </c>
      <c r="X326" s="344">
        <f>IF(Q326=0,"",ROUNDUP(AA326*euro,-3))</f>
      </c>
      <c r="Y326" s="338"/>
      <c r="Z326" s="344">
        <f>IF(Q326="","",L326*Q326)</f>
      </c>
      <c r="AA326" s="322">
        <f>IF(Q326="","",Z326*afa)</f>
      </c>
      <c r="AB326" s="338" t="s">
        <v>229</v>
      </c>
      <c r="AC326" s="505"/>
    </row>
    <row r="327" spans="3:29" ht="12.75" customHeight="1">
      <c r="C327" s="1017"/>
      <c r="D327" s="429" t="s">
        <v>310</v>
      </c>
      <c r="E327" s="1130" t="s">
        <v>562</v>
      </c>
      <c r="F327" s="1130"/>
      <c r="G327" s="1130"/>
      <c r="H327" s="327">
        <v>1.32</v>
      </c>
      <c r="I327" s="327">
        <v>2.45</v>
      </c>
      <c r="J327" s="327">
        <f>H327*I327</f>
        <v>3.2340000000000004</v>
      </c>
      <c r="K327" s="332"/>
      <c r="L327" s="333">
        <f>IF(Q327="","",N327*1/afa)</f>
      </c>
      <c r="M327" s="327"/>
      <c r="N327" s="501">
        <v>68</v>
      </c>
      <c r="Q327" s="334"/>
      <c r="S327" s="324" t="s">
        <v>240</v>
      </c>
      <c r="U327" s="343"/>
      <c r="V327" s="338"/>
      <c r="W327" s="344">
        <f>IF(X327="","",X327*1/afa)</f>
      </c>
      <c r="X327" s="344">
        <f>IF(Q327=0,"",ROUNDUP(AA327*euro,-3))</f>
      </c>
      <c r="Y327" s="338"/>
      <c r="Z327" s="344">
        <f>IF(Q327="","",L327*Q327)</f>
      </c>
      <c r="AA327" s="322">
        <f>IF(Q327="","",Z327*afa)</f>
      </c>
      <c r="AB327" s="338" t="s">
        <v>229</v>
      </c>
      <c r="AC327" s="505"/>
    </row>
    <row r="328" spans="3:29" ht="12.75" customHeight="1">
      <c r="C328" s="1017"/>
      <c r="D328" s="429" t="s">
        <v>311</v>
      </c>
      <c r="E328" s="1098" t="s">
        <v>560</v>
      </c>
      <c r="F328" s="1098"/>
      <c r="G328" s="1098"/>
      <c r="H328" s="288">
        <v>1.32</v>
      </c>
      <c r="I328" s="288">
        <v>2.45</v>
      </c>
      <c r="J328" s="288">
        <f>H328*I328</f>
        <v>3.2340000000000004</v>
      </c>
      <c r="K328" s="342"/>
      <c r="L328" s="322">
        <f>IF(Q328="","",N328*1/afa)</f>
      </c>
      <c r="M328" s="288"/>
      <c r="N328" s="502">
        <v>237</v>
      </c>
      <c r="Q328" s="334"/>
      <c r="S328" s="324" t="s">
        <v>240</v>
      </c>
      <c r="U328" s="343"/>
      <c r="V328" s="338"/>
      <c r="W328" s="344">
        <f>IF(X328="","",X328*1/afa)</f>
      </c>
      <c r="X328" s="344">
        <f>IF(Q328=0,"",ROUNDUP(AA328*euro,-3))</f>
      </c>
      <c r="Y328" s="338"/>
      <c r="Z328" s="344">
        <f>IF(Q328="","",L328*Q328)</f>
      </c>
      <c r="AA328" s="322">
        <f>IF(Q328="","",Z328*afa)</f>
      </c>
      <c r="AB328" s="338" t="s">
        <v>229</v>
      </c>
      <c r="AC328" s="505"/>
    </row>
    <row r="329" spans="3:29" ht="12.75" customHeight="1">
      <c r="C329" s="1017"/>
      <c r="D329" s="429" t="s">
        <v>312</v>
      </c>
      <c r="E329" s="1100" t="s">
        <v>561</v>
      </c>
      <c r="F329" s="1100"/>
      <c r="G329" s="1100"/>
      <c r="H329" s="415">
        <v>1.32</v>
      </c>
      <c r="I329" s="415">
        <v>2.45</v>
      </c>
      <c r="J329" s="415">
        <f>H329*I329</f>
        <v>3.2340000000000004</v>
      </c>
      <c r="K329" s="419"/>
      <c r="L329" s="420">
        <f>IF(Q329="","",N329*1/afa)</f>
      </c>
      <c r="M329" s="415"/>
      <c r="N329" s="503">
        <v>343</v>
      </c>
      <c r="Q329" s="334"/>
      <c r="S329" s="324" t="s">
        <v>240</v>
      </c>
      <c r="U329" s="422"/>
      <c r="V329" s="416"/>
      <c r="W329" s="423">
        <f>IF(X329="","",X329*1/afa)</f>
      </c>
      <c r="X329" s="423">
        <f>IF(Q329=0,"",ROUNDUP(AA329*euro,-3))</f>
      </c>
      <c r="Y329" s="416"/>
      <c r="Z329" s="423">
        <f>IF(Q329="","",L329*Q329)</f>
      </c>
      <c r="AA329" s="420">
        <f>IF(Q329="","",Z329*afa)</f>
      </c>
      <c r="AB329" s="416" t="s">
        <v>229</v>
      </c>
      <c r="AC329" s="505"/>
    </row>
    <row r="330" spans="3:29" ht="12.75" customHeight="1">
      <c r="C330" s="1017"/>
      <c r="D330" s="428"/>
      <c r="E330" s="241"/>
      <c r="F330" s="241"/>
      <c r="Q330" s="323"/>
      <c r="S330" s="324"/>
      <c r="AC330" s="505"/>
    </row>
    <row r="331" spans="3:29" ht="12.75" customHeight="1">
      <c r="C331" s="1017"/>
      <c r="D331" s="533" t="s">
        <v>314</v>
      </c>
      <c r="E331" s="1130" t="s">
        <v>563</v>
      </c>
      <c r="F331" s="1130"/>
      <c r="G331" s="1130"/>
      <c r="H331" s="327">
        <v>1.32</v>
      </c>
      <c r="I331" s="327">
        <v>2.45</v>
      </c>
      <c r="J331" s="327">
        <f>H331*I331</f>
        <v>3.2340000000000004</v>
      </c>
      <c r="K331" s="332"/>
      <c r="L331" s="333">
        <f>IF(Q331="","",N331*1/afa)</f>
      </c>
      <c r="M331" s="327"/>
      <c r="N331" s="501">
        <v>198</v>
      </c>
      <c r="Q331" s="334"/>
      <c r="S331" s="324" t="s">
        <v>240</v>
      </c>
      <c r="U331" s="335"/>
      <c r="V331" s="328"/>
      <c r="W331" s="336">
        <f>IF(X331="","",X331*1/afa)</f>
      </c>
      <c r="X331" s="336">
        <f>IF(Q331=0,"",ROUNDUP(AA331*euro,-3))</f>
      </c>
      <c r="Y331" s="328"/>
      <c r="Z331" s="336">
        <f>IF(Q331="","",L331*Q331)</f>
      </c>
      <c r="AA331" s="333">
        <f>IF(Q331="","",Z331*afa)</f>
      </c>
      <c r="AB331" s="328" t="s">
        <v>229</v>
      </c>
      <c r="AC331" s="505"/>
    </row>
    <row r="332" spans="3:29" ht="12.75" customHeight="1">
      <c r="C332" s="1017"/>
      <c r="D332" s="533" t="s">
        <v>316</v>
      </c>
      <c r="E332" s="1098" t="s">
        <v>340</v>
      </c>
      <c r="F332" s="1098"/>
      <c r="G332" s="1098"/>
      <c r="H332" s="288">
        <v>1.32</v>
      </c>
      <c r="I332" s="288">
        <v>2.45</v>
      </c>
      <c r="J332" s="288">
        <f>H332*I332</f>
        <v>3.2340000000000004</v>
      </c>
      <c r="K332" s="342"/>
      <c r="L332" s="322">
        <f>IF(Q332="","",N332*1/afa)</f>
      </c>
      <c r="M332" s="288"/>
      <c r="N332" s="502">
        <v>0</v>
      </c>
      <c r="Q332" s="334"/>
      <c r="S332" s="324" t="s">
        <v>240</v>
      </c>
      <c r="U332" s="343"/>
      <c r="V332" s="338"/>
      <c r="W332" s="344">
        <f>IF(X332="","",X332*1/afa)</f>
      </c>
      <c r="X332" s="344">
        <f>IF(Q332=0,"",ROUNDUP(AA332*euro,-3))</f>
      </c>
      <c r="Y332" s="338"/>
      <c r="Z332" s="344">
        <f>IF(Q332="","",L332*Q332)</f>
      </c>
      <c r="AA332" s="322">
        <f>IF(Q332="","",Z332*afa)</f>
      </c>
      <c r="AB332" s="338" t="s">
        <v>229</v>
      </c>
      <c r="AC332" s="505"/>
    </row>
    <row r="333" spans="3:29" ht="12.75" customHeight="1">
      <c r="C333" s="1017"/>
      <c r="D333" s="533" t="s">
        <v>327</v>
      </c>
      <c r="E333" s="1098" t="s">
        <v>340</v>
      </c>
      <c r="F333" s="1098"/>
      <c r="G333" s="1098"/>
      <c r="H333" s="288">
        <v>1.32</v>
      </c>
      <c r="I333" s="288">
        <v>2.45</v>
      </c>
      <c r="J333" s="288">
        <f>H333*I333</f>
        <v>3.2340000000000004</v>
      </c>
      <c r="K333" s="342"/>
      <c r="L333" s="322">
        <f>IF(Q333="","",N333*1/afa)</f>
      </c>
      <c r="M333" s="288"/>
      <c r="N333" s="502">
        <v>0</v>
      </c>
      <c r="Q333" s="334"/>
      <c r="S333" s="324" t="s">
        <v>240</v>
      </c>
      <c r="U333" s="343"/>
      <c r="V333" s="338"/>
      <c r="W333" s="344">
        <f>IF(X333="","",X333*1/afa)</f>
      </c>
      <c r="X333" s="344">
        <f>IF(Q333=0,"",ROUNDUP(AA333*euro,-3))</f>
      </c>
      <c r="Y333" s="338"/>
      <c r="Z333" s="344">
        <f>IF(Q333="","",L333*Q333)</f>
      </c>
      <c r="AA333" s="322">
        <f>IF(Q333="","",Z333*afa)</f>
      </c>
      <c r="AB333" s="338" t="s">
        <v>229</v>
      </c>
      <c r="AC333" s="505"/>
    </row>
    <row r="334" spans="3:29" ht="12.75" customHeight="1">
      <c r="C334" s="1017"/>
      <c r="D334" s="533" t="s">
        <v>329</v>
      </c>
      <c r="E334" s="1098" t="s">
        <v>340</v>
      </c>
      <c r="F334" s="1098"/>
      <c r="G334" s="1098"/>
      <c r="H334" s="288">
        <v>1.32</v>
      </c>
      <c r="I334" s="288">
        <v>2.45</v>
      </c>
      <c r="J334" s="288">
        <f>H334*I334</f>
        <v>3.2340000000000004</v>
      </c>
      <c r="K334" s="342"/>
      <c r="L334" s="322">
        <f>IF(Q334="","",N334*1/afa)</f>
      </c>
      <c r="M334" s="288"/>
      <c r="N334" s="502">
        <v>0</v>
      </c>
      <c r="Q334" s="334"/>
      <c r="S334" s="324" t="s">
        <v>240</v>
      </c>
      <c r="U334" s="343"/>
      <c r="V334" s="338"/>
      <c r="W334" s="344">
        <f>IF(X334="","",X334*1/afa)</f>
      </c>
      <c r="X334" s="344">
        <f>IF(Q334=0,"",ROUNDUP(AA334*euro,-3))</f>
      </c>
      <c r="Y334" s="338"/>
      <c r="Z334" s="344">
        <f>IF(Q334="","",L334*Q334)</f>
      </c>
      <c r="AA334" s="322">
        <f>IF(Q334="","",Z334*afa)</f>
      </c>
      <c r="AB334" s="338" t="s">
        <v>229</v>
      </c>
      <c r="AC334" s="505"/>
    </row>
    <row r="335" spans="3:29" ht="12.75" customHeight="1">
      <c r="C335" s="1017"/>
      <c r="D335" s="533" t="s">
        <v>346</v>
      </c>
      <c r="E335" s="1100" t="s">
        <v>340</v>
      </c>
      <c r="F335" s="1100"/>
      <c r="G335" s="1100"/>
      <c r="H335" s="415"/>
      <c r="I335" s="415"/>
      <c r="J335" s="415"/>
      <c r="K335" s="419"/>
      <c r="L335" s="420">
        <f>IF(Q335="","",N335*1/afa)</f>
      </c>
      <c r="M335" s="415"/>
      <c r="N335" s="503">
        <v>0</v>
      </c>
      <c r="Q335" s="334"/>
      <c r="S335" s="324" t="s">
        <v>240</v>
      </c>
      <c r="U335" s="422"/>
      <c r="V335" s="416"/>
      <c r="W335" s="423">
        <f>IF(X335="","",X335*1/afa)</f>
      </c>
      <c r="X335" s="423">
        <f>IF(Q335=0,"",ROUNDUP(AA335*euro,-3))</f>
      </c>
      <c r="Y335" s="416"/>
      <c r="Z335" s="423">
        <f>IF(Q335="","",L335*Q335)</f>
      </c>
      <c r="AA335" s="420">
        <f>IF(Q335="","",Z335*afa)</f>
      </c>
      <c r="AB335" s="416" t="s">
        <v>229</v>
      </c>
      <c r="AC335" s="505"/>
    </row>
    <row r="336" spans="3:29" ht="12.75" customHeight="1">
      <c r="C336" s="1017"/>
      <c r="Q336" s="323"/>
      <c r="S336" s="324"/>
      <c r="AC336" s="505"/>
    </row>
    <row r="337" spans="6:29" ht="12.75" customHeight="1">
      <c r="F337" s="1033" t="s">
        <v>521</v>
      </c>
      <c r="G337" s="1033"/>
      <c r="L337" s="1009" t="s">
        <v>711</v>
      </c>
      <c r="M337" s="1009"/>
      <c r="N337" s="376"/>
      <c r="Q337" s="405"/>
      <c r="S337" s="324"/>
      <c r="AC337" s="505"/>
    </row>
    <row r="338" spans="1:31" s="449" customFormat="1" ht="19.5" customHeight="1">
      <c r="A338" s="835"/>
      <c r="C338" s="459"/>
      <c r="E338" s="836" t="s">
        <v>696</v>
      </c>
      <c r="G338" s="451"/>
      <c r="K338" s="452"/>
      <c r="L338" s="458"/>
      <c r="N338" s="458"/>
      <c r="P338" s="454"/>
      <c r="Q338" s="455"/>
      <c r="R338" s="837"/>
      <c r="S338" s="838"/>
      <c r="U338" s="456"/>
      <c r="V338" s="451"/>
      <c r="W338" s="457"/>
      <c r="X338" s="457"/>
      <c r="Y338" s="451"/>
      <c r="Z338" s="457"/>
      <c r="AA338" s="458"/>
      <c r="AB338" s="451"/>
      <c r="AC338" s="839"/>
      <c r="AE338" s="458"/>
    </row>
    <row r="339" spans="1:31" s="449" customFormat="1" ht="28.5" customHeight="1">
      <c r="A339" s="835"/>
      <c r="C339" s="840" t="s">
        <v>518</v>
      </c>
      <c r="E339" s="449" t="s">
        <v>697</v>
      </c>
      <c r="G339" s="451"/>
      <c r="K339" s="452"/>
      <c r="L339" s="458"/>
      <c r="N339" s="458" t="s">
        <v>453</v>
      </c>
      <c r="P339" s="454"/>
      <c r="Q339" s="461"/>
      <c r="R339" s="837"/>
      <c r="S339" s="838"/>
      <c r="U339" s="456"/>
      <c r="V339" s="451"/>
      <c r="W339" s="457"/>
      <c r="X339" s="457"/>
      <c r="Y339" s="451"/>
      <c r="Z339" s="457"/>
      <c r="AA339" s="458"/>
      <c r="AB339" s="451"/>
      <c r="AC339" s="839"/>
      <c r="AE339" s="458"/>
    </row>
    <row r="340" spans="1:31" s="449" customFormat="1" ht="12.75" customHeight="1">
      <c r="A340" s="835"/>
      <c r="C340" s="1032" t="s">
        <v>443</v>
      </c>
      <c r="D340" s="546" t="s">
        <v>449</v>
      </c>
      <c r="E340" s="841" t="s">
        <v>444</v>
      </c>
      <c r="F340" s="464"/>
      <c r="G340" s="465"/>
      <c r="I340" s="464" t="s">
        <v>450</v>
      </c>
      <c r="J340" s="464"/>
      <c r="K340" s="467"/>
      <c r="L340" s="468"/>
      <c r="M340" s="464"/>
      <c r="N340" s="468">
        <v>0</v>
      </c>
      <c r="P340" s="454"/>
      <c r="Q340" s="842"/>
      <c r="R340" s="837"/>
      <c r="S340" s="838"/>
      <c r="U340" s="470"/>
      <c r="V340" s="465"/>
      <c r="W340" s="471">
        <f aca="true" t="shared" si="106" ref="W340:W345">IF(X340="","",X340*1/afa)</f>
      </c>
      <c r="X340" s="471">
        <f aca="true" t="shared" si="107" ref="X340:X345">IF(Q340=0,"",ROUNDUP(AA340*euro,-3))</f>
      </c>
      <c r="Y340" s="465"/>
      <c r="Z340" s="471">
        <f aca="true" t="shared" si="108" ref="Z340:Z345">IF(Q340="","",L340*Q340)</f>
      </c>
      <c r="AA340" s="468">
        <f aca="true" t="shared" si="109" ref="AA340:AA345">IF(Q340="","",Z340*afa)</f>
      </c>
      <c r="AB340" s="465" t="s">
        <v>229</v>
      </c>
      <c r="AC340" s="839"/>
      <c r="AE340" s="458"/>
    </row>
    <row r="341" spans="1:31" s="449" customFormat="1" ht="12.75" customHeight="1">
      <c r="A341" s="835"/>
      <c r="C341" s="1032"/>
      <c r="D341" s="546" t="s">
        <v>217</v>
      </c>
      <c r="E341" s="841" t="s">
        <v>445</v>
      </c>
      <c r="F341" s="473"/>
      <c r="G341" s="474"/>
      <c r="H341" s="473"/>
      <c r="I341" s="473"/>
      <c r="J341" s="473"/>
      <c r="K341" s="476"/>
      <c r="L341" s="477">
        <f>IF(Q341="","",N341*1/afa)</f>
      </c>
      <c r="M341" s="473"/>
      <c r="N341" s="477">
        <v>247</v>
      </c>
      <c r="P341" s="454"/>
      <c r="Q341" s="469"/>
      <c r="R341" s="837"/>
      <c r="S341" s="838" t="s">
        <v>240</v>
      </c>
      <c r="U341" s="478"/>
      <c r="V341" s="474"/>
      <c r="W341" s="479">
        <f t="shared" si="106"/>
      </c>
      <c r="X341" s="479">
        <f t="shared" si="107"/>
      </c>
      <c r="Y341" s="474"/>
      <c r="Z341" s="479">
        <f t="shared" si="108"/>
      </c>
      <c r="AA341" s="477">
        <f t="shared" si="109"/>
      </c>
      <c r="AB341" s="474" t="s">
        <v>229</v>
      </c>
      <c r="AC341" s="839"/>
      <c r="AE341" s="458"/>
    </row>
    <row r="342" spans="1:31" s="449" customFormat="1" ht="12.75" customHeight="1">
      <c r="A342" s="835"/>
      <c r="C342" s="1032"/>
      <c r="D342" s="546" t="s">
        <v>218</v>
      </c>
      <c r="E342" s="841" t="s">
        <v>446</v>
      </c>
      <c r="F342" s="473"/>
      <c r="G342" s="474"/>
      <c r="H342" s="473"/>
      <c r="I342" s="473"/>
      <c r="J342" s="473"/>
      <c r="K342" s="476"/>
      <c r="L342" s="477">
        <f>IF(Q342="","",N342*1/afa)</f>
      </c>
      <c r="M342" s="473"/>
      <c r="N342" s="477">
        <v>365</v>
      </c>
      <c r="P342" s="454"/>
      <c r="Q342" s="469"/>
      <c r="R342" s="837"/>
      <c r="S342" s="838" t="s">
        <v>240</v>
      </c>
      <c r="U342" s="478"/>
      <c r="V342" s="474"/>
      <c r="W342" s="479">
        <f t="shared" si="106"/>
      </c>
      <c r="X342" s="479">
        <f t="shared" si="107"/>
      </c>
      <c r="Y342" s="474"/>
      <c r="Z342" s="479">
        <f t="shared" si="108"/>
      </c>
      <c r="AA342" s="477">
        <f t="shared" si="109"/>
      </c>
      <c r="AB342" s="474" t="s">
        <v>229</v>
      </c>
      <c r="AC342" s="839"/>
      <c r="AE342" s="458"/>
    </row>
    <row r="343" spans="1:31" s="449" customFormat="1" ht="12.75" customHeight="1">
      <c r="A343" s="835"/>
      <c r="C343" s="1032"/>
      <c r="D343" s="546" t="s">
        <v>310</v>
      </c>
      <c r="E343" s="841" t="s">
        <v>447</v>
      </c>
      <c r="F343" s="473"/>
      <c r="G343" s="474"/>
      <c r="H343" s="473"/>
      <c r="I343" s="473"/>
      <c r="J343" s="473"/>
      <c r="K343" s="476"/>
      <c r="L343" s="477">
        <f>IF(Q343="","",N343*1/afa)</f>
      </c>
      <c r="M343" s="473"/>
      <c r="N343" s="477">
        <v>512</v>
      </c>
      <c r="P343" s="454"/>
      <c r="Q343" s="469"/>
      <c r="R343" s="837"/>
      <c r="S343" s="838" t="s">
        <v>240</v>
      </c>
      <c r="U343" s="478"/>
      <c r="V343" s="474"/>
      <c r="W343" s="479">
        <f t="shared" si="106"/>
      </c>
      <c r="X343" s="479">
        <f t="shared" si="107"/>
      </c>
      <c r="Y343" s="474"/>
      <c r="Z343" s="479">
        <f t="shared" si="108"/>
      </c>
      <c r="AA343" s="477">
        <f t="shared" si="109"/>
      </c>
      <c r="AB343" s="474" t="s">
        <v>229</v>
      </c>
      <c r="AC343" s="839"/>
      <c r="AE343" s="458"/>
    </row>
    <row r="344" spans="1:31" s="449" customFormat="1" ht="12.75" customHeight="1">
      <c r="A344" s="835"/>
      <c r="C344" s="1032"/>
      <c r="D344" s="546" t="s">
        <v>311</v>
      </c>
      <c r="E344" s="843" t="s">
        <v>448</v>
      </c>
      <c r="F344" s="473"/>
      <c r="G344" s="474"/>
      <c r="H344" s="473"/>
      <c r="I344" s="473"/>
      <c r="J344" s="473"/>
      <c r="K344" s="476"/>
      <c r="L344" s="477">
        <f>IF(Q344="","",N344*1/afa)</f>
      </c>
      <c r="M344" s="473"/>
      <c r="N344" s="477">
        <v>786</v>
      </c>
      <c r="P344" s="454"/>
      <c r="Q344" s="469"/>
      <c r="R344" s="837"/>
      <c r="S344" s="838" t="s">
        <v>240</v>
      </c>
      <c r="U344" s="478"/>
      <c r="V344" s="474"/>
      <c r="W344" s="479">
        <f t="shared" si="106"/>
      </c>
      <c r="X344" s="479">
        <f t="shared" si="107"/>
      </c>
      <c r="Y344" s="474"/>
      <c r="Z344" s="479">
        <f t="shared" si="108"/>
      </c>
      <c r="AA344" s="477">
        <f t="shared" si="109"/>
      </c>
      <c r="AB344" s="474" t="s">
        <v>229</v>
      </c>
      <c r="AC344" s="839"/>
      <c r="AE344" s="458"/>
    </row>
    <row r="345" spans="1:31" s="449" customFormat="1" ht="18" customHeight="1">
      <c r="A345" s="835"/>
      <c r="C345" s="1032"/>
      <c r="D345" s="546" t="s">
        <v>312</v>
      </c>
      <c r="E345" s="844" t="s">
        <v>158</v>
      </c>
      <c r="F345" s="481"/>
      <c r="G345" s="482"/>
      <c r="H345" s="481"/>
      <c r="I345" s="481"/>
      <c r="J345" s="481"/>
      <c r="K345" s="484"/>
      <c r="L345" s="485">
        <f>IF(Q345="","",N345*1/afa)</f>
      </c>
      <c r="M345" s="481"/>
      <c r="N345" s="485">
        <v>278</v>
      </c>
      <c r="P345" s="454"/>
      <c r="Q345" s="469"/>
      <c r="R345" s="837"/>
      <c r="S345" s="838" t="s">
        <v>240</v>
      </c>
      <c r="U345" s="486"/>
      <c r="V345" s="482"/>
      <c r="W345" s="487">
        <f t="shared" si="106"/>
      </c>
      <c r="X345" s="487">
        <f t="shared" si="107"/>
      </c>
      <c r="Y345" s="482"/>
      <c r="Z345" s="487">
        <f t="shared" si="108"/>
      </c>
      <c r="AA345" s="485">
        <f t="shared" si="109"/>
      </c>
      <c r="AB345" s="482" t="s">
        <v>229</v>
      </c>
      <c r="AC345" s="839"/>
      <c r="AE345" s="458"/>
    </row>
    <row r="346" spans="1:31" s="449" customFormat="1" ht="12.75" customHeight="1">
      <c r="A346" s="835"/>
      <c r="C346" s="1032"/>
      <c r="D346" s="547"/>
      <c r="G346" s="451"/>
      <c r="K346" s="452"/>
      <c r="L346" s="458"/>
      <c r="N346" s="458"/>
      <c r="P346" s="454"/>
      <c r="Q346" s="461"/>
      <c r="R346" s="837"/>
      <c r="S346" s="838"/>
      <c r="U346" s="456"/>
      <c r="V346" s="451"/>
      <c r="W346" s="457"/>
      <c r="X346" s="457"/>
      <c r="Y346" s="451"/>
      <c r="Z346" s="457"/>
      <c r="AA346" s="458"/>
      <c r="AB346" s="451"/>
      <c r="AC346" s="839"/>
      <c r="AE346" s="458"/>
    </row>
    <row r="347" spans="1:31" s="449" customFormat="1" ht="12.75" customHeight="1">
      <c r="A347" s="835"/>
      <c r="C347" s="1032"/>
      <c r="D347" s="547"/>
      <c r="G347" s="451"/>
      <c r="K347" s="452"/>
      <c r="L347" s="458"/>
      <c r="N347" s="458"/>
      <c r="P347" s="454"/>
      <c r="Q347" s="461"/>
      <c r="R347" s="837"/>
      <c r="S347" s="838"/>
      <c r="U347" s="456"/>
      <c r="V347" s="451"/>
      <c r="W347" s="457"/>
      <c r="X347" s="457"/>
      <c r="Y347" s="451"/>
      <c r="Z347" s="457"/>
      <c r="AA347" s="458"/>
      <c r="AB347" s="451"/>
      <c r="AC347" s="839"/>
      <c r="AE347" s="458"/>
    </row>
    <row r="348" spans="1:31" s="449" customFormat="1" ht="12.75" customHeight="1">
      <c r="A348" s="835"/>
      <c r="C348" s="1032"/>
      <c r="D348" s="548"/>
      <c r="E348" s="845" t="s">
        <v>698</v>
      </c>
      <c r="G348" s="451"/>
      <c r="K348" s="452"/>
      <c r="L348" s="458"/>
      <c r="N348" s="458" t="s">
        <v>341</v>
      </c>
      <c r="P348" s="454"/>
      <c r="Q348" s="461"/>
      <c r="R348" s="837"/>
      <c r="S348" s="838"/>
      <c r="U348" s="456"/>
      <c r="V348" s="451"/>
      <c r="W348" s="457"/>
      <c r="X348" s="457"/>
      <c r="Y348" s="451"/>
      <c r="Z348" s="457"/>
      <c r="AA348" s="458"/>
      <c r="AB348" s="451"/>
      <c r="AC348" s="839"/>
      <c r="AE348" s="458"/>
    </row>
    <row r="349" spans="1:31" s="449" customFormat="1" ht="12.75" customHeight="1">
      <c r="A349" s="835"/>
      <c r="C349" s="1032"/>
      <c r="D349" s="546" t="s">
        <v>314</v>
      </c>
      <c r="E349" s="1055" t="s">
        <v>347</v>
      </c>
      <c r="F349" s="1056"/>
      <c r="G349" s="1056"/>
      <c r="H349" s="1056"/>
      <c r="I349" s="1056"/>
      <c r="J349" s="1056"/>
      <c r="K349" s="1056"/>
      <c r="L349" s="468">
        <f>IF(Q349="","",N349*1/afa)</f>
      </c>
      <c r="M349" s="464"/>
      <c r="N349" s="468">
        <v>458</v>
      </c>
      <c r="P349" s="454"/>
      <c r="Q349" s="469"/>
      <c r="R349" s="837"/>
      <c r="S349" s="838" t="s">
        <v>240</v>
      </c>
      <c r="U349" s="470"/>
      <c r="V349" s="465"/>
      <c r="W349" s="471">
        <f>IF(X349="","",X349*1/afa)</f>
      </c>
      <c r="X349" s="471">
        <f>IF(Q349=0,"",ROUNDUP(AA349*euro,-3))</f>
      </c>
      <c r="Y349" s="465"/>
      <c r="Z349" s="471">
        <f>IF(Q349="","",L349*Q349)</f>
      </c>
      <c r="AA349" s="468">
        <f>IF(Q349="","",Z349*afa)</f>
      </c>
      <c r="AB349" s="465" t="s">
        <v>229</v>
      </c>
      <c r="AC349" s="839"/>
      <c r="AE349" s="458"/>
    </row>
    <row r="350" spans="1:31" s="449" customFormat="1" ht="12.75" customHeight="1">
      <c r="A350" s="835"/>
      <c r="C350" s="1032"/>
      <c r="D350" s="546" t="s">
        <v>316</v>
      </c>
      <c r="E350" s="1034" t="s">
        <v>348</v>
      </c>
      <c r="F350" s="1035"/>
      <c r="G350" s="1035"/>
      <c r="H350" s="1035"/>
      <c r="I350" s="1035"/>
      <c r="J350" s="1035"/>
      <c r="K350" s="1035"/>
      <c r="L350" s="477">
        <f>IF(Q350="","",N350*1/afa)</f>
      </c>
      <c r="M350" s="473"/>
      <c r="N350" s="477">
        <v>210</v>
      </c>
      <c r="P350" s="454"/>
      <c r="Q350" s="469"/>
      <c r="R350" s="837"/>
      <c r="S350" s="838" t="s">
        <v>240</v>
      </c>
      <c r="U350" s="478"/>
      <c r="V350" s="474"/>
      <c r="W350" s="479">
        <f>IF(X350="","",X350*1/afa)</f>
      </c>
      <c r="X350" s="479">
        <f>IF(Q350=0,"",ROUNDUP(AA350*euro,-3))</f>
      </c>
      <c r="Y350" s="474"/>
      <c r="Z350" s="479">
        <f>IF(Q350="","",L350*Q350)</f>
      </c>
      <c r="AA350" s="477">
        <f>IF(Q350="","",Z350*afa)</f>
      </c>
      <c r="AB350" s="474" t="s">
        <v>229</v>
      </c>
      <c r="AC350" s="839"/>
      <c r="AE350" s="458"/>
    </row>
    <row r="351" spans="1:31" s="449" customFormat="1" ht="12.75" customHeight="1">
      <c r="A351" s="835"/>
      <c r="C351" s="1032"/>
      <c r="D351" s="546" t="s">
        <v>327</v>
      </c>
      <c r="E351" s="1063" t="s">
        <v>345</v>
      </c>
      <c r="F351" s="1064"/>
      <c r="G351" s="1064"/>
      <c r="H351" s="1064"/>
      <c r="I351" s="1064"/>
      <c r="J351" s="1064"/>
      <c r="K351" s="1064"/>
      <c r="L351" s="485">
        <f>IF(Q351="","",N351*1/afa)</f>
      </c>
      <c r="M351" s="481"/>
      <c r="N351" s="485"/>
      <c r="P351" s="454"/>
      <c r="Q351" s="469"/>
      <c r="R351" s="837"/>
      <c r="S351" s="838" t="s">
        <v>240</v>
      </c>
      <c r="U351" s="486"/>
      <c r="V351" s="482"/>
      <c r="W351" s="487">
        <f>IF(X351="","",X351*1/afa)</f>
      </c>
      <c r="X351" s="487">
        <f>IF(Q351=0,"",ROUNDUP(AA351*euro,-3))</f>
      </c>
      <c r="Y351" s="482"/>
      <c r="Z351" s="487">
        <f>IF(Q351="","",L351*Q351)</f>
      </c>
      <c r="AA351" s="485">
        <f>IF(Q351="","",Z351*afa)</f>
      </c>
      <c r="AB351" s="482" t="s">
        <v>229</v>
      </c>
      <c r="AC351" s="839"/>
      <c r="AE351" s="458"/>
    </row>
    <row r="352" spans="1:31" s="449" customFormat="1" ht="12.75" customHeight="1">
      <c r="A352" s="835"/>
      <c r="C352" s="459"/>
      <c r="G352" s="451"/>
      <c r="K352" s="452"/>
      <c r="L352" s="458"/>
      <c r="N352" s="458"/>
      <c r="P352" s="454"/>
      <c r="Q352" s="461"/>
      <c r="R352" s="837"/>
      <c r="S352" s="838"/>
      <c r="U352" s="456"/>
      <c r="V352" s="451"/>
      <c r="W352" s="457"/>
      <c r="X352" s="457"/>
      <c r="Y352" s="451"/>
      <c r="Z352" s="457"/>
      <c r="AA352" s="458"/>
      <c r="AB352" s="451"/>
      <c r="AC352" s="839"/>
      <c r="AE352" s="458"/>
    </row>
    <row r="353" spans="1:31" s="449" customFormat="1" ht="34.5" customHeight="1">
      <c r="A353" s="835"/>
      <c r="C353" s="1031" t="s">
        <v>349</v>
      </c>
      <c r="D353" s="1031"/>
      <c r="E353" s="1125" t="s">
        <v>159</v>
      </c>
      <c r="F353" s="1125"/>
      <c r="G353" s="1125"/>
      <c r="H353" s="1125"/>
      <c r="I353" s="1125"/>
      <c r="J353" s="1125"/>
      <c r="K353" s="1125"/>
      <c r="L353" s="1125"/>
      <c r="M353" s="1125"/>
      <c r="N353" s="1125"/>
      <c r="P353" s="454"/>
      <c r="Q353" s="461"/>
      <c r="R353" s="837"/>
      <c r="S353" s="838"/>
      <c r="U353" s="456"/>
      <c r="V353" s="451"/>
      <c r="W353" s="457"/>
      <c r="X353" s="457"/>
      <c r="Y353" s="451"/>
      <c r="Z353" s="457"/>
      <c r="AA353" s="458"/>
      <c r="AB353" s="451"/>
      <c r="AC353" s="839"/>
      <c r="AE353" s="458"/>
    </row>
    <row r="354" spans="3:29" ht="12.75" customHeight="1">
      <c r="C354" s="1045" t="s">
        <v>455</v>
      </c>
      <c r="D354" s="520" t="s">
        <v>217</v>
      </c>
      <c r="E354" s="1028" t="s">
        <v>486</v>
      </c>
      <c r="F354" s="1029"/>
      <c r="G354" s="1029"/>
      <c r="H354" s="1029"/>
      <c r="I354" s="1029"/>
      <c r="J354" s="1029"/>
      <c r="K354" s="1029"/>
      <c r="L354" s="333">
        <f aca="true" t="shared" si="110" ref="L354:L360">IF(Q354="","",N354*1/afa)</f>
      </c>
      <c r="M354" s="327"/>
      <c r="N354" s="333">
        <v>58</v>
      </c>
      <c r="Q354" s="334"/>
      <c r="S354" s="324" t="s">
        <v>240</v>
      </c>
      <c r="U354" s="335"/>
      <c r="V354" s="328"/>
      <c r="W354" s="336">
        <f aca="true" t="shared" si="111" ref="W354:W360">IF(X354="","",X354*1/afa)</f>
      </c>
      <c r="X354" s="336">
        <f aca="true" t="shared" si="112" ref="X354:X360">IF(Q354=0,"",ROUNDUP(AA354*euro,-3))</f>
      </c>
      <c r="Y354" s="328"/>
      <c r="Z354" s="336">
        <f aca="true" t="shared" si="113" ref="Z354:Z360">IF(Q354="","",L354*Q354)</f>
      </c>
      <c r="AA354" s="333">
        <f aca="true" t="shared" si="114" ref="AA354:AA360">IF(Q354="","",Z354*afa)</f>
      </c>
      <c r="AB354" s="328" t="s">
        <v>229</v>
      </c>
      <c r="AC354" s="505"/>
    </row>
    <row r="355" spans="3:29" ht="12.75" customHeight="1">
      <c r="C355" s="1045"/>
      <c r="D355" s="520" t="s">
        <v>218</v>
      </c>
      <c r="E355" s="1028" t="s">
        <v>484</v>
      </c>
      <c r="F355" s="1029"/>
      <c r="G355" s="1029"/>
      <c r="H355" s="1029"/>
      <c r="I355" s="1029"/>
      <c r="J355" s="1029"/>
      <c r="K355" s="1029"/>
      <c r="L355" s="333">
        <f t="shared" si="110"/>
      </c>
      <c r="M355" s="327"/>
      <c r="N355" s="333">
        <v>69</v>
      </c>
      <c r="Q355" s="334"/>
      <c r="S355" s="324" t="s">
        <v>240</v>
      </c>
      <c r="U355" s="335"/>
      <c r="V355" s="328"/>
      <c r="W355" s="336">
        <f t="shared" si="111"/>
      </c>
      <c r="X355" s="336">
        <f t="shared" si="112"/>
      </c>
      <c r="Y355" s="328"/>
      <c r="Z355" s="336">
        <f t="shared" si="113"/>
      </c>
      <c r="AA355" s="333">
        <f t="shared" si="114"/>
      </c>
      <c r="AB355" s="328" t="s">
        <v>229</v>
      </c>
      <c r="AC355" s="505"/>
    </row>
    <row r="356" spans="3:29" ht="12.75" customHeight="1">
      <c r="C356" s="1045"/>
      <c r="D356" s="520" t="s">
        <v>310</v>
      </c>
      <c r="E356" s="1048" t="s">
        <v>485</v>
      </c>
      <c r="F356" s="1049"/>
      <c r="G356" s="1049"/>
      <c r="H356" s="1049"/>
      <c r="I356" s="1049"/>
      <c r="J356" s="1049"/>
      <c r="K356" s="1049"/>
      <c r="L356" s="420">
        <f t="shared" si="110"/>
      </c>
      <c r="M356" s="415"/>
      <c r="N356" s="420">
        <v>87</v>
      </c>
      <c r="Q356" s="334"/>
      <c r="S356" s="324" t="s">
        <v>240</v>
      </c>
      <c r="U356" s="343"/>
      <c r="V356" s="338"/>
      <c r="W356" s="344">
        <f t="shared" si="111"/>
      </c>
      <c r="X356" s="344">
        <f t="shared" si="112"/>
      </c>
      <c r="Y356" s="338"/>
      <c r="Z356" s="344">
        <f t="shared" si="113"/>
      </c>
      <c r="AA356" s="322">
        <f t="shared" si="114"/>
      </c>
      <c r="AB356" s="338" t="s">
        <v>229</v>
      </c>
      <c r="AC356" s="505"/>
    </row>
    <row r="357" spans="3:29" ht="12.75" customHeight="1">
      <c r="C357" s="1045"/>
      <c r="D357" s="533" t="s">
        <v>310</v>
      </c>
      <c r="E357" s="1050" t="s">
        <v>345</v>
      </c>
      <c r="F357" s="1050"/>
      <c r="G357" s="1050"/>
      <c r="H357" s="1050"/>
      <c r="I357" s="1050"/>
      <c r="J357" s="1050"/>
      <c r="K357" s="1050"/>
      <c r="L357" s="322">
        <f t="shared" si="110"/>
      </c>
      <c r="M357" s="288"/>
      <c r="N357" s="549"/>
      <c r="Q357" s="334"/>
      <c r="S357" s="324" t="s">
        <v>240</v>
      </c>
      <c r="U357" s="343"/>
      <c r="V357" s="338"/>
      <c r="W357" s="344">
        <f t="shared" si="111"/>
      </c>
      <c r="X357" s="344">
        <f t="shared" si="112"/>
      </c>
      <c r="Y357" s="338"/>
      <c r="Z357" s="344">
        <f t="shared" si="113"/>
      </c>
      <c r="AA357" s="322">
        <f t="shared" si="114"/>
      </c>
      <c r="AB357" s="338" t="s">
        <v>229</v>
      </c>
      <c r="AC357" s="505"/>
    </row>
    <row r="358" spans="3:29" ht="12.75" customHeight="1">
      <c r="C358" s="1045"/>
      <c r="D358" s="533" t="s">
        <v>311</v>
      </c>
      <c r="E358" s="1025" t="s">
        <v>345</v>
      </c>
      <c r="F358" s="1025"/>
      <c r="G358" s="1025"/>
      <c r="H358" s="1025"/>
      <c r="I358" s="1025"/>
      <c r="J358" s="1025"/>
      <c r="K358" s="1025"/>
      <c r="L358" s="322">
        <f t="shared" si="110"/>
      </c>
      <c r="M358" s="288"/>
      <c r="N358" s="549"/>
      <c r="Q358" s="334"/>
      <c r="S358" s="324" t="s">
        <v>240</v>
      </c>
      <c r="U358" s="343"/>
      <c r="V358" s="338"/>
      <c r="W358" s="344">
        <f t="shared" si="111"/>
      </c>
      <c r="X358" s="344">
        <f t="shared" si="112"/>
      </c>
      <c r="Y358" s="338"/>
      <c r="Z358" s="344">
        <f t="shared" si="113"/>
      </c>
      <c r="AA358" s="322">
        <f t="shared" si="114"/>
      </c>
      <c r="AB358" s="338" t="s">
        <v>229</v>
      </c>
      <c r="AC358" s="505"/>
    </row>
    <row r="359" spans="3:29" ht="12.75" customHeight="1">
      <c r="C359" s="1045"/>
      <c r="D359" s="533" t="s">
        <v>312</v>
      </c>
      <c r="E359" s="1025" t="s">
        <v>345</v>
      </c>
      <c r="F359" s="1025"/>
      <c r="G359" s="1025"/>
      <c r="H359" s="1025"/>
      <c r="I359" s="1025"/>
      <c r="J359" s="1025"/>
      <c r="K359" s="1025"/>
      <c r="L359" s="322">
        <f t="shared" si="110"/>
      </c>
      <c r="M359" s="288"/>
      <c r="N359" s="549"/>
      <c r="Q359" s="334"/>
      <c r="S359" s="324" t="s">
        <v>240</v>
      </c>
      <c r="U359" s="343"/>
      <c r="V359" s="338"/>
      <c r="W359" s="344">
        <f t="shared" si="111"/>
      </c>
      <c r="X359" s="344">
        <f t="shared" si="112"/>
      </c>
      <c r="Y359" s="338"/>
      <c r="Z359" s="344">
        <f t="shared" si="113"/>
      </c>
      <c r="AA359" s="322">
        <f t="shared" si="114"/>
      </c>
      <c r="AB359" s="338" t="s">
        <v>229</v>
      </c>
      <c r="AC359" s="505"/>
    </row>
    <row r="360" spans="3:29" ht="12.75" customHeight="1">
      <c r="C360" s="1045"/>
      <c r="D360" s="533" t="s">
        <v>314</v>
      </c>
      <c r="E360" s="1047" t="s">
        <v>345</v>
      </c>
      <c r="F360" s="1047"/>
      <c r="G360" s="1047"/>
      <c r="H360" s="1047"/>
      <c r="I360" s="1047"/>
      <c r="J360" s="1047"/>
      <c r="K360" s="1047"/>
      <c r="L360" s="420">
        <f t="shared" si="110"/>
      </c>
      <c r="M360" s="415"/>
      <c r="N360" s="550">
        <v>0</v>
      </c>
      <c r="Q360" s="334"/>
      <c r="S360" s="324" t="s">
        <v>240</v>
      </c>
      <c r="U360" s="422"/>
      <c r="V360" s="416"/>
      <c r="W360" s="423">
        <f t="shared" si="111"/>
      </c>
      <c r="X360" s="423">
        <f t="shared" si="112"/>
      </c>
      <c r="Y360" s="416"/>
      <c r="Z360" s="423">
        <f t="shared" si="113"/>
      </c>
      <c r="AA360" s="420">
        <f t="shared" si="114"/>
      </c>
      <c r="AB360" s="416" t="s">
        <v>229</v>
      </c>
      <c r="AC360" s="505"/>
    </row>
    <row r="361" spans="1:31" ht="20.25" customHeight="1">
      <c r="A361" s="251"/>
      <c r="C361" s="375" t="s">
        <v>305</v>
      </c>
      <c r="D361" s="551"/>
      <c r="E361" s="552" t="s">
        <v>180</v>
      </c>
      <c r="F361" s="239"/>
      <c r="G361" s="263"/>
      <c r="H361" s="239"/>
      <c r="I361" s="239"/>
      <c r="J361" s="239"/>
      <c r="K361" s="553"/>
      <c r="L361" s="262"/>
      <c r="M361" s="239"/>
      <c r="N361" s="262">
        <f>SUM(Q285:Q360)</f>
        <v>0</v>
      </c>
      <c r="P361" s="244" t="s">
        <v>240</v>
      </c>
      <c r="Q361" s="323"/>
      <c r="S361" s="324"/>
      <c r="U361" s="504">
        <v>0</v>
      </c>
      <c r="V361" s="263" t="s">
        <v>233</v>
      </c>
      <c r="W361" s="301">
        <f>ROUNDUP((X361*1/afa),-1)</f>
        <v>0</v>
      </c>
      <c r="X361" s="301">
        <f>ROUNDUP(AA361*euro,-3)</f>
        <v>0</v>
      </c>
      <c r="Y361" s="263" t="s">
        <v>241</v>
      </c>
      <c r="Z361" s="301">
        <f>SUM(Z285:Z360)</f>
        <v>0</v>
      </c>
      <c r="AA361" s="262">
        <f>Z361*afa</f>
        <v>0</v>
      </c>
      <c r="AB361" s="263" t="s">
        <v>229</v>
      </c>
      <c r="AC361" s="505"/>
      <c r="AE361" s="257"/>
    </row>
    <row r="362" spans="17:19" ht="12.75" customHeight="1">
      <c r="Q362" s="405"/>
      <c r="S362" s="324"/>
    </row>
    <row r="363" spans="12:19" ht="12.75" customHeight="1">
      <c r="L363" s="1009" t="s">
        <v>711</v>
      </c>
      <c r="M363" s="1009"/>
      <c r="N363" s="376"/>
      <c r="Q363" s="405"/>
      <c r="S363" s="324"/>
    </row>
    <row r="364" spans="3:31" ht="6" customHeight="1">
      <c r="C364" s="554"/>
      <c r="D364" s="540"/>
      <c r="E364" s="540"/>
      <c r="F364" s="540"/>
      <c r="G364" s="541"/>
      <c r="H364" s="540"/>
      <c r="I364" s="540"/>
      <c r="J364" s="540"/>
      <c r="K364" s="542"/>
      <c r="L364" s="543"/>
      <c r="M364" s="540"/>
      <c r="N364" s="543"/>
      <c r="O364" s="540"/>
      <c r="Q364" s="405"/>
      <c r="S364" s="324"/>
      <c r="U364" s="544"/>
      <c r="V364" s="541"/>
      <c r="W364" s="545"/>
      <c r="X364" s="545"/>
      <c r="Y364" s="541"/>
      <c r="Z364" s="545"/>
      <c r="AA364" s="543"/>
      <c r="AB364" s="541"/>
      <c r="AE364" s="543"/>
    </row>
    <row r="365" spans="3:19" ht="33" customHeight="1" thickBot="1">
      <c r="C365" s="377" t="s">
        <v>518</v>
      </c>
      <c r="D365" s="555"/>
      <c r="E365" s="556" t="s">
        <v>473</v>
      </c>
      <c r="F365" s="555"/>
      <c r="G365" s="557"/>
      <c r="H365" s="555"/>
      <c r="I365" s="555"/>
      <c r="J365" s="555"/>
      <c r="K365" s="558"/>
      <c r="L365" s="559"/>
      <c r="M365" s="555"/>
      <c r="N365" s="560" t="s">
        <v>351</v>
      </c>
      <c r="O365" s="555"/>
      <c r="Q365" s="405"/>
      <c r="S365" s="324"/>
    </row>
    <row r="366" spans="3:19" ht="0" customHeight="1" hidden="1" thickTop="1">
      <c r="C366" s="1036" t="s">
        <v>442</v>
      </c>
      <c r="D366" s="561" t="s">
        <v>693</v>
      </c>
      <c r="E366" s="1127" t="s">
        <v>117</v>
      </c>
      <c r="F366" s="1127"/>
      <c r="G366" s="1127"/>
      <c r="H366" s="1127"/>
      <c r="I366" s="1127"/>
      <c r="J366" s="1127"/>
      <c r="Q366" s="323"/>
      <c r="R366" s="442" t="s">
        <v>227</v>
      </c>
      <c r="S366" s="324"/>
    </row>
    <row r="367" spans="3:28" ht="0" customHeight="1" hidden="1">
      <c r="C367" s="1036"/>
      <c r="D367" s="562" t="s">
        <v>449</v>
      </c>
      <c r="E367" s="1044" t="s">
        <v>591</v>
      </c>
      <c r="F367" s="1044"/>
      <c r="G367" s="1044"/>
      <c r="H367" s="1044"/>
      <c r="I367" s="1044"/>
      <c r="J367" s="1044"/>
      <c r="K367" s="563">
        <v>0</v>
      </c>
      <c r="L367" s="564">
        <f>N367*1/afa</f>
        <v>0</v>
      </c>
      <c r="M367" s="565"/>
      <c r="N367" s="564">
        <f>K367*(Z42+Z65+Z88+Z111+Z186+Z213+Z230)*afa*0</f>
        <v>0</v>
      </c>
      <c r="O367" s="566"/>
      <c r="P367" s="566"/>
      <c r="Q367" s="567"/>
      <c r="R367" s="568"/>
      <c r="S367" s="569" t="s">
        <v>274</v>
      </c>
      <c r="T367" s="566"/>
      <c r="U367" s="570"/>
      <c r="V367" s="571"/>
      <c r="W367" s="572">
        <f>IF(X367="","",X367*1/afa)</f>
      </c>
      <c r="X367" s="572">
        <f>IF(Q367=0,"",ROUNDUP(AA367*euro,-3))</f>
      </c>
      <c r="Y367" s="571" t="s">
        <v>241</v>
      </c>
      <c r="Z367" s="572">
        <f>ROUNDUP(L367*Q367,-1)</f>
        <v>0</v>
      </c>
      <c r="AA367" s="573">
        <f>Z367*afa</f>
        <v>0</v>
      </c>
      <c r="AB367" s="571" t="s">
        <v>229</v>
      </c>
    </row>
    <row r="368" spans="3:28" ht="0" customHeight="1" hidden="1">
      <c r="C368" s="1036"/>
      <c r="D368" s="562" t="s">
        <v>217</v>
      </c>
      <c r="E368" s="1044" t="s">
        <v>592</v>
      </c>
      <c r="F368" s="1044"/>
      <c r="G368" s="1044"/>
      <c r="H368" s="1044"/>
      <c r="I368" s="1044"/>
      <c r="J368" s="1044"/>
      <c r="K368" s="563">
        <v>0</v>
      </c>
      <c r="L368" s="564">
        <f>N368*1/afa</f>
        <v>0</v>
      </c>
      <c r="M368" s="565"/>
      <c r="N368" s="564">
        <f>K368*(Z42+Z65+Z88+Z111+Z186+Z213+Z230)*afa*0</f>
        <v>0</v>
      </c>
      <c r="O368" s="566"/>
      <c r="P368" s="566"/>
      <c r="Q368" s="567"/>
      <c r="R368" s="568"/>
      <c r="S368" s="569" t="s">
        <v>274</v>
      </c>
      <c r="T368" s="566"/>
      <c r="U368" s="574"/>
      <c r="V368" s="575"/>
      <c r="W368" s="576">
        <f>IF(X368="","",X368*1/afa)</f>
      </c>
      <c r="X368" s="576">
        <f>IF(Q368=0,"",ROUNDUP(AA368*euro,-3))</f>
      </c>
      <c r="Y368" s="575" t="s">
        <v>241</v>
      </c>
      <c r="Z368" s="576">
        <f>ROUNDUP(L368*Q368,-1)</f>
        <v>0</v>
      </c>
      <c r="AA368" s="564">
        <f>Z368*afa</f>
        <v>0</v>
      </c>
      <c r="AB368" s="575" t="s">
        <v>229</v>
      </c>
    </row>
    <row r="369" spans="3:28" ht="0" customHeight="1" hidden="1">
      <c r="C369" s="1036"/>
      <c r="D369" s="577" t="s">
        <v>218</v>
      </c>
      <c r="E369" s="1060" t="s">
        <v>118</v>
      </c>
      <c r="F369" s="1060"/>
      <c r="G369" s="1060"/>
      <c r="H369" s="1060"/>
      <c r="I369" s="1060"/>
      <c r="J369" s="1060"/>
      <c r="K369" s="578">
        <v>0.041</v>
      </c>
      <c r="L369" s="579">
        <f>N369*1/afa</f>
        <v>0</v>
      </c>
      <c r="M369" s="551"/>
      <c r="N369" s="579">
        <f>K369*(Z42+Z65+Z88+Z111+Z186+Z213+Z230)*afa</f>
        <v>0</v>
      </c>
      <c r="Q369" s="580"/>
      <c r="S369" s="324" t="s">
        <v>274</v>
      </c>
      <c r="U369" s="343"/>
      <c r="V369" s="338"/>
      <c r="W369" s="344">
        <f>IF(X369="","",X369*1/afa)</f>
      </c>
      <c r="X369" s="344">
        <f>IF(Q369=0,"",ROUNDUP(AA369*euro,-3))</f>
      </c>
      <c r="Y369" s="338" t="s">
        <v>241</v>
      </c>
      <c r="Z369" s="344">
        <f>ROUNDUP(L369*Q369,-1)</f>
        <v>0</v>
      </c>
      <c r="AA369" s="322">
        <f>Z369*afa</f>
        <v>0</v>
      </c>
      <c r="AB369" s="338" t="s">
        <v>229</v>
      </c>
    </row>
    <row r="370" spans="1:31" s="449" customFormat="1" ht="77.25" customHeight="1" thickBot="1" thickTop="1">
      <c r="A370" s="835"/>
      <c r="C370" s="1036"/>
      <c r="D370" s="852" t="s">
        <v>311</v>
      </c>
      <c r="E370" s="1046" t="s">
        <v>700</v>
      </c>
      <c r="F370" s="1046"/>
      <c r="G370" s="1046"/>
      <c r="H370" s="1046"/>
      <c r="I370" s="1046"/>
      <c r="J370" s="1046"/>
      <c r="K370" s="853">
        <v>0.025</v>
      </c>
      <c r="L370" s="854">
        <f>N370*1/afa</f>
        <v>0</v>
      </c>
      <c r="M370" s="855"/>
      <c r="N370" s="854">
        <f>K370*(Z42+Z65+Z88+Z111+Z186+Z213+Z230)*afa</f>
        <v>0</v>
      </c>
      <c r="P370" s="454"/>
      <c r="Q370" s="856"/>
      <c r="R370" s="837"/>
      <c r="S370" s="838" t="s">
        <v>274</v>
      </c>
      <c r="U370" s="486"/>
      <c r="V370" s="482"/>
      <c r="W370" s="487">
        <f>IF(X370="","",X370*1/afa)</f>
      </c>
      <c r="X370" s="487">
        <f>IF(Q370=0,"",ROUNDUP(AA370*euro,-3))</f>
      </c>
      <c r="Y370" s="482" t="s">
        <v>241</v>
      </c>
      <c r="Z370" s="487">
        <f>ROUNDUP(L370*Q370,-1)</f>
        <v>0</v>
      </c>
      <c r="AA370" s="485">
        <f>Z370*afa</f>
        <v>0</v>
      </c>
      <c r="AB370" s="482" t="s">
        <v>229</v>
      </c>
      <c r="AE370" s="458"/>
    </row>
    <row r="371" spans="3:28" ht="12.75" customHeight="1">
      <c r="C371" s="375" t="s">
        <v>350</v>
      </c>
      <c r="D371" s="415" t="s">
        <v>276</v>
      </c>
      <c r="E371" s="415"/>
      <c r="F371" s="415"/>
      <c r="G371" s="416"/>
      <c r="H371" s="415"/>
      <c r="I371" s="415"/>
      <c r="J371" s="415"/>
      <c r="K371" s="419"/>
      <c r="L371" s="420"/>
      <c r="M371" s="415"/>
      <c r="N371" s="420"/>
      <c r="Q371" s="323"/>
      <c r="S371" s="324">
        <f>SUM(Q23:Q229)</f>
        <v>0</v>
      </c>
      <c r="U371" s="582">
        <f>U42+U65+U88+U111+U186+U201+U212+U230+U237</f>
        <v>0</v>
      </c>
      <c r="V371" s="583"/>
      <c r="W371" s="584">
        <f>SUM(W367:W370)</f>
        <v>0</v>
      </c>
      <c r="X371" s="584">
        <f>SUM(X367:X370)</f>
        <v>0</v>
      </c>
      <c r="Y371" s="583"/>
      <c r="Z371" s="584">
        <f>SUM(Z367:Z370)</f>
        <v>0</v>
      </c>
      <c r="AA371" s="579">
        <f>SUM(AA367:AA370)</f>
        <v>0</v>
      </c>
      <c r="AB371" s="583"/>
    </row>
    <row r="372" spans="17:19" ht="12.75" customHeight="1">
      <c r="Q372" s="323"/>
      <c r="S372" s="324"/>
    </row>
    <row r="373" spans="3:28" ht="0" customHeight="1" hidden="1">
      <c r="C373" s="585" t="s">
        <v>454</v>
      </c>
      <c r="D373" s="586">
        <v>0</v>
      </c>
      <c r="E373" s="1026" t="s">
        <v>119</v>
      </c>
      <c r="F373" s="1027"/>
      <c r="G373" s="1027"/>
      <c r="H373" s="1027"/>
      <c r="I373" s="1027"/>
      <c r="J373" s="1027"/>
      <c r="K373" s="563">
        <v>0</v>
      </c>
      <c r="L373" s="564">
        <f>N373*1/afa</f>
        <v>0</v>
      </c>
      <c r="M373" s="565"/>
      <c r="N373" s="564">
        <f>afa*((Z42+Z65+Z88+Z111)+Z186+Z213+Z230+Z237+Z278+((Z291+Z307)))*K373*0</f>
        <v>0</v>
      </c>
      <c r="O373" s="566"/>
      <c r="P373" s="566"/>
      <c r="Q373" s="567"/>
      <c r="R373" s="568"/>
      <c r="S373" s="569" t="s">
        <v>274</v>
      </c>
      <c r="T373" s="566"/>
      <c r="U373" s="574"/>
      <c r="V373" s="575"/>
      <c r="W373" s="576">
        <f>X373*1/afa</f>
        <v>0</v>
      </c>
      <c r="X373" s="576">
        <f>ROUNDUP(AA373*euro,-3)</f>
        <v>0</v>
      </c>
      <c r="Y373" s="575" t="s">
        <v>241</v>
      </c>
      <c r="Z373" s="576">
        <f>L373*Q373</f>
        <v>0</v>
      </c>
      <c r="AA373" s="564">
        <f>Z373*afa</f>
        <v>0</v>
      </c>
      <c r="AB373" s="575" t="s">
        <v>229</v>
      </c>
    </row>
    <row r="374" spans="1:32" s="251" customFormat="1" ht="3" customHeight="1">
      <c r="A374" s="1043"/>
      <c r="B374" s="587"/>
      <c r="C374" s="588"/>
      <c r="D374" s="587"/>
      <c r="E374" s="587"/>
      <c r="F374" s="587"/>
      <c r="G374" s="589"/>
      <c r="H374" s="590"/>
      <c r="I374" s="587"/>
      <c r="J374" s="587"/>
      <c r="K374" s="591"/>
      <c r="L374" s="592"/>
      <c r="M374" s="587"/>
      <c r="N374" s="592"/>
      <c r="O374" s="587"/>
      <c r="P374" s="593"/>
      <c r="Q374" s="594"/>
      <c r="R374" s="595"/>
      <c r="S374" s="589"/>
      <c r="T374" s="587"/>
      <c r="U374" s="596"/>
      <c r="V374" s="589"/>
      <c r="W374" s="597"/>
      <c r="X374" s="598"/>
      <c r="Y374" s="589"/>
      <c r="Z374" s="597"/>
      <c r="AA374" s="599"/>
      <c r="AB374" s="589"/>
      <c r="AC374" s="587"/>
      <c r="AD374" s="587"/>
      <c r="AE374" s="592"/>
      <c r="AF374" s="587"/>
    </row>
    <row r="375" spans="1:32" s="251" customFormat="1" ht="3" customHeight="1">
      <c r="A375" s="1043"/>
      <c r="B375" s="587"/>
      <c r="C375" s="600"/>
      <c r="D375" s="587"/>
      <c r="E375" s="601"/>
      <c r="F375" s="587"/>
      <c r="G375" s="589"/>
      <c r="H375" s="587"/>
      <c r="I375" s="587"/>
      <c r="J375" s="587"/>
      <c r="K375" s="591"/>
      <c r="L375" s="592"/>
      <c r="M375" s="587"/>
      <c r="N375" s="592"/>
      <c r="O375" s="587"/>
      <c r="P375" s="602"/>
      <c r="Q375" s="603"/>
      <c r="R375" s="595"/>
      <c r="S375" s="589"/>
      <c r="T375" s="587"/>
      <c r="U375" s="604"/>
      <c r="V375" s="589"/>
      <c r="W375" s="597"/>
      <c r="X375" s="597"/>
      <c r="Y375" s="589"/>
      <c r="Z375" s="589"/>
      <c r="AA375" s="592"/>
      <c r="AB375" s="589"/>
      <c r="AC375" s="587"/>
      <c r="AD375" s="587"/>
      <c r="AE375" s="589"/>
      <c r="AF375" s="587"/>
    </row>
    <row r="376" spans="1:32" s="251" customFormat="1" ht="3" customHeight="1">
      <c r="A376" s="1043"/>
      <c r="B376" s="605"/>
      <c r="C376" s="606"/>
      <c r="D376" s="605"/>
      <c r="E376" s="607"/>
      <c r="F376" s="605"/>
      <c r="G376" s="608"/>
      <c r="H376" s="605"/>
      <c r="I376" s="605"/>
      <c r="J376" s="605"/>
      <c r="K376" s="609"/>
      <c r="L376" s="610"/>
      <c r="M376" s="605"/>
      <c r="N376" s="610"/>
      <c r="O376" s="605"/>
      <c r="P376" s="611"/>
      <c r="Q376" s="612"/>
      <c r="R376" s="613"/>
      <c r="S376" s="608"/>
      <c r="T376" s="605"/>
      <c r="U376" s="614"/>
      <c r="V376" s="608"/>
      <c r="W376" s="615"/>
      <c r="X376" s="615"/>
      <c r="Y376" s="608"/>
      <c r="Z376" s="608"/>
      <c r="AA376" s="610"/>
      <c r="AB376" s="608"/>
      <c r="AC376" s="605"/>
      <c r="AD376" s="605"/>
      <c r="AE376" s="608"/>
      <c r="AF376" s="605"/>
    </row>
    <row r="377" spans="1:32" ht="3" customHeight="1">
      <c r="A377" s="1043"/>
      <c r="B377" s="605"/>
      <c r="C377" s="616"/>
      <c r="D377" s="617"/>
      <c r="E377" s="618"/>
      <c r="F377" s="1053"/>
      <c r="G377" s="1053"/>
      <c r="H377" s="1053"/>
      <c r="I377" s="1053"/>
      <c r="J377" s="1053"/>
      <c r="K377" s="1053"/>
      <c r="L377" s="1053"/>
      <c r="M377" s="1053"/>
      <c r="N377" s="1053"/>
      <c r="O377" s="605"/>
      <c r="P377" s="619"/>
      <c r="Q377" s="620"/>
      <c r="R377" s="613"/>
      <c r="S377" s="621"/>
      <c r="T377" s="605"/>
      <c r="U377" s="622"/>
      <c r="V377" s="623"/>
      <c r="W377" s="615"/>
      <c r="X377" s="615"/>
      <c r="Y377" s="624"/>
      <c r="Z377" s="615"/>
      <c r="AA377" s="610"/>
      <c r="AB377" s="1051"/>
      <c r="AC377" s="1052"/>
      <c r="AD377" s="1052"/>
      <c r="AE377" s="625"/>
      <c r="AF377" s="605"/>
    </row>
    <row r="378" spans="1:32" ht="3" customHeight="1">
      <c r="A378" s="1043"/>
      <c r="B378" s="605"/>
      <c r="C378" s="606"/>
      <c r="D378" s="605"/>
      <c r="E378" s="605"/>
      <c r="F378" s="605"/>
      <c r="G378" s="608"/>
      <c r="H378" s="605"/>
      <c r="I378" s="605"/>
      <c r="J378" s="605"/>
      <c r="K378" s="609"/>
      <c r="L378" s="610"/>
      <c r="M378" s="605"/>
      <c r="N378" s="610"/>
      <c r="O378" s="605"/>
      <c r="P378" s="619"/>
      <c r="Q378" s="626"/>
      <c r="R378" s="613"/>
      <c r="S378" s="608"/>
      <c r="T378" s="605"/>
      <c r="U378" s="627"/>
      <c r="V378" s="608"/>
      <c r="W378" s="615"/>
      <c r="X378" s="615"/>
      <c r="Y378" s="608"/>
      <c r="Z378" s="615"/>
      <c r="AA378" s="610"/>
      <c r="AB378" s="608"/>
      <c r="AC378" s="608"/>
      <c r="AD378" s="608"/>
      <c r="AE378" s="628"/>
      <c r="AF378" s="605"/>
    </row>
    <row r="379" spans="1:32" ht="3" customHeight="1">
      <c r="A379" s="605"/>
      <c r="B379" s="605"/>
      <c r="C379" s="606"/>
      <c r="D379" s="605"/>
      <c r="E379" s="605"/>
      <c r="F379" s="605"/>
      <c r="G379" s="608"/>
      <c r="H379" s="605"/>
      <c r="I379" s="605"/>
      <c r="J379" s="605"/>
      <c r="K379" s="609"/>
      <c r="L379" s="610"/>
      <c r="M379" s="605"/>
      <c r="N379" s="610"/>
      <c r="O379" s="605"/>
      <c r="P379" s="619"/>
      <c r="Q379" s="626"/>
      <c r="R379" s="613"/>
      <c r="S379" s="608"/>
      <c r="T379" s="605"/>
      <c r="U379" s="627"/>
      <c r="V379" s="608"/>
      <c r="W379" s="615"/>
      <c r="X379" s="615"/>
      <c r="Y379" s="608"/>
      <c r="Z379" s="615"/>
      <c r="AA379" s="610"/>
      <c r="AB379" s="608"/>
      <c r="AC379" s="605"/>
      <c r="AD379" s="605"/>
      <c r="AE379" s="610"/>
      <c r="AF379" s="605"/>
    </row>
    <row r="380" spans="1:32" s="251" customFormat="1" ht="3" customHeight="1">
      <c r="A380" s="587"/>
      <c r="B380" s="587"/>
      <c r="C380" s="588"/>
      <c r="D380" s="587"/>
      <c r="E380" s="587"/>
      <c r="F380" s="587"/>
      <c r="G380" s="589"/>
      <c r="H380" s="587"/>
      <c r="I380" s="587"/>
      <c r="J380" s="587"/>
      <c r="K380" s="591"/>
      <c r="L380" s="592"/>
      <c r="M380" s="587"/>
      <c r="N380" s="592"/>
      <c r="O380" s="587"/>
      <c r="P380" s="593"/>
      <c r="Q380" s="629"/>
      <c r="R380" s="595"/>
      <c r="S380" s="589"/>
      <c r="T380" s="587"/>
      <c r="U380" s="630"/>
      <c r="V380" s="589"/>
      <c r="W380" s="597"/>
      <c r="X380" s="597"/>
      <c r="Y380" s="589"/>
      <c r="Z380" s="597"/>
      <c r="AA380" s="592"/>
      <c r="AB380" s="589"/>
      <c r="AC380" s="587"/>
      <c r="AD380" s="587"/>
      <c r="AE380" s="592"/>
      <c r="AF380" s="587"/>
    </row>
    <row r="381" spans="1:32" s="251" customFormat="1" ht="3" customHeight="1">
      <c r="A381" s="587"/>
      <c r="B381" s="587"/>
      <c r="C381" s="588"/>
      <c r="D381" s="587"/>
      <c r="E381" s="587"/>
      <c r="F381" s="587"/>
      <c r="G381" s="589"/>
      <c r="H381" s="587"/>
      <c r="I381" s="587"/>
      <c r="J381" s="587"/>
      <c r="K381" s="591"/>
      <c r="L381" s="592"/>
      <c r="M381" s="587"/>
      <c r="N381" s="592"/>
      <c r="O381" s="587"/>
      <c r="P381" s="593"/>
      <c r="Q381" s="629"/>
      <c r="R381" s="595"/>
      <c r="S381" s="589"/>
      <c r="T381" s="587"/>
      <c r="U381" s="630"/>
      <c r="V381" s="589"/>
      <c r="W381" s="597"/>
      <c r="X381" s="597"/>
      <c r="Y381" s="589"/>
      <c r="Z381" s="597"/>
      <c r="AA381" s="592"/>
      <c r="AB381" s="589"/>
      <c r="AC381" s="587"/>
      <c r="AD381" s="587"/>
      <c r="AE381" s="592"/>
      <c r="AF381" s="587"/>
    </row>
    <row r="382" spans="4:31" ht="12.75" customHeight="1">
      <c r="D382" s="631" t="s">
        <v>352</v>
      </c>
      <c r="E382" s="554"/>
      <c r="F382" s="632" t="s">
        <v>120</v>
      </c>
      <c r="G382" s="541"/>
      <c r="H382" s="554"/>
      <c r="I382" s="554"/>
      <c r="J382" s="554"/>
      <c r="K382" s="542"/>
      <c r="L382" s="633"/>
      <c r="M382" s="554"/>
      <c r="N382" s="633"/>
      <c r="O382" s="554"/>
      <c r="P382" s="554"/>
      <c r="Q382" s="634"/>
      <c r="R382" s="1062" t="s">
        <v>227</v>
      </c>
      <c r="S382" s="635"/>
      <c r="T382" s="540"/>
      <c r="U382" s="636">
        <f>U42+U65+U88+U111+U186+U230+U253+U265+U277+U377</f>
        <v>0</v>
      </c>
      <c r="V382" s="541" t="s">
        <v>233</v>
      </c>
      <c r="W382" s="637">
        <f>ROUNDUP((X382*1/afa),-1)</f>
        <v>0</v>
      </c>
      <c r="X382" s="637">
        <f>ROUNDUP(AA382*euro,-3)</f>
        <v>0</v>
      </c>
      <c r="Y382" s="541" t="s">
        <v>241</v>
      </c>
      <c r="Z382" s="637">
        <f>((Z42+Z65+Z88+Z111+Z125))+((Z186+Z213+Z230+Z237))+((Z253+Z265+Z277))+((Z361))+((Z371+Z373+Z377))</f>
        <v>0</v>
      </c>
      <c r="AA382" s="633">
        <f>Z382*afa</f>
        <v>0</v>
      </c>
      <c r="AB382" s="541" t="s">
        <v>229</v>
      </c>
      <c r="AC382" s="241"/>
      <c r="AD382" s="241"/>
      <c r="AE382" s="633"/>
    </row>
    <row r="383" spans="17:19" ht="12.75" customHeight="1">
      <c r="Q383" s="405"/>
      <c r="R383" s="1062"/>
      <c r="S383" s="324"/>
    </row>
    <row r="384" spans="5:19" ht="30.75" customHeight="1">
      <c r="E384" s="638" t="s">
        <v>593</v>
      </c>
      <c r="Q384" s="405"/>
      <c r="R384" s="1062"/>
      <c r="S384" s="324"/>
    </row>
    <row r="385" spans="3:31" ht="51" customHeight="1">
      <c r="C385" s="639"/>
      <c r="D385" s="1021" t="s">
        <v>122</v>
      </c>
      <c r="E385" s="1022"/>
      <c r="F385" s="1022"/>
      <c r="G385" s="1022"/>
      <c r="H385" s="1022"/>
      <c r="I385" s="1022"/>
      <c r="J385" s="1022"/>
      <c r="K385" s="640"/>
      <c r="L385" s="641"/>
      <c r="M385" s="642"/>
      <c r="N385" s="641"/>
      <c r="O385" s="642"/>
      <c r="Q385" s="411"/>
      <c r="R385" s="1062"/>
      <c r="S385" s="324"/>
      <c r="U385" s="335"/>
      <c r="V385" s="328"/>
      <c r="W385" s="336" t="s">
        <v>150</v>
      </c>
      <c r="X385" s="336" t="s">
        <v>150</v>
      </c>
      <c r="Y385" s="328"/>
      <c r="Z385" s="336" t="s">
        <v>151</v>
      </c>
      <c r="AA385" s="333" t="s">
        <v>152</v>
      </c>
      <c r="AB385" s="328" t="s">
        <v>229</v>
      </c>
      <c r="AE385" s="333"/>
    </row>
    <row r="386" spans="3:31" ht="12.75" customHeight="1">
      <c r="C386" s="606"/>
      <c r="D386" s="643" t="s">
        <v>217</v>
      </c>
      <c r="E386" s="1075" t="s">
        <v>123</v>
      </c>
      <c r="F386" s="1075"/>
      <c r="G386" s="1075"/>
      <c r="H386" s="1075"/>
      <c r="I386" s="1075"/>
      <c r="J386" s="1075"/>
      <c r="K386" s="1075"/>
      <c r="L386" s="528">
        <f>IF(Q386="","",N386*1/afa)</f>
      </c>
      <c r="M386" s="525"/>
      <c r="N386" s="528">
        <f>-153*0.74</f>
        <v>-113.22</v>
      </c>
      <c r="O386" s="288"/>
      <c r="Q386" s="644"/>
      <c r="S386" s="324" t="s">
        <v>240</v>
      </c>
      <c r="U386" s="343">
        <f>IF(Q386="","",Q386*1.32*2.3)</f>
      </c>
      <c r="V386" s="338"/>
      <c r="W386" s="344">
        <f>IF(X386="","",X386*1/afa)</f>
      </c>
      <c r="X386" s="344">
        <f>IF(Q386=0,"",ROUNDUP(AA386*euro,-3))</f>
      </c>
      <c r="Y386" s="338"/>
      <c r="Z386" s="344">
        <f>IF(Q386="","",L386*Q386)</f>
      </c>
      <c r="AA386" s="322">
        <f>IF(Q386="","",Z386*afa)</f>
      </c>
      <c r="AB386" s="338" t="s">
        <v>229</v>
      </c>
      <c r="AE386" s="322">
        <f>Q386*(-102)</f>
        <v>0</v>
      </c>
    </row>
    <row r="387" spans="3:31" ht="12.75" customHeight="1">
      <c r="C387" s="606"/>
      <c r="D387" s="643" t="s">
        <v>218</v>
      </c>
      <c r="E387" s="1075" t="s">
        <v>124</v>
      </c>
      <c r="F387" s="1075"/>
      <c r="G387" s="1075"/>
      <c r="H387" s="1075"/>
      <c r="I387" s="1075"/>
      <c r="J387" s="1075"/>
      <c r="K387" s="1075"/>
      <c r="L387" s="528">
        <f>IF(Q387="","",N387*1/afa)</f>
      </c>
      <c r="M387" s="525"/>
      <c r="N387" s="528">
        <f>N386</f>
        <v>-113.22</v>
      </c>
      <c r="O387" s="288"/>
      <c r="Q387" s="644"/>
      <c r="S387" s="324" t="s">
        <v>240</v>
      </c>
      <c r="U387" s="343">
        <f>IF(Q387="","",Q387*1.32*2.3)</f>
      </c>
      <c r="V387" s="338"/>
      <c r="W387" s="344">
        <f>IF(X387="","",X387*1/afa)</f>
      </c>
      <c r="X387" s="344">
        <f>IF(Q387=0,"",ROUNDUP(AA387*euro,-3))</f>
      </c>
      <c r="Y387" s="338"/>
      <c r="Z387" s="344">
        <f>IF(Q387="","",L387*Q387)</f>
      </c>
      <c r="AA387" s="322">
        <f>IF(Q387="","",Z387*afa)</f>
      </c>
      <c r="AB387" s="338" t="s">
        <v>229</v>
      </c>
      <c r="AE387" s="322">
        <f>Q387*(-102)</f>
        <v>0</v>
      </c>
    </row>
    <row r="388" spans="3:31" ht="12.75" customHeight="1">
      <c r="C388" s="606"/>
      <c r="D388" s="643" t="s">
        <v>310</v>
      </c>
      <c r="E388" s="1075" t="s">
        <v>160</v>
      </c>
      <c r="F388" s="1075"/>
      <c r="G388" s="1075"/>
      <c r="H388" s="1075"/>
      <c r="I388" s="1075"/>
      <c r="J388" s="1075"/>
      <c r="K388" s="1075"/>
      <c r="L388" s="528">
        <f>IF(Q388="","",N388*1/afa)</f>
      </c>
      <c r="M388" s="525"/>
      <c r="N388" s="528">
        <f>N387</f>
        <v>-113.22</v>
      </c>
      <c r="O388" s="288"/>
      <c r="Q388" s="644"/>
      <c r="S388" s="324" t="s">
        <v>240</v>
      </c>
      <c r="U388" s="343">
        <f>IF(Q388="","",Q388*1.32*2.3)</f>
      </c>
      <c r="V388" s="338"/>
      <c r="W388" s="344">
        <f>IF(X388="","",X388*1/afa)</f>
      </c>
      <c r="X388" s="344">
        <f>IF(Q388=0,"",ROUNDUP(AA388*euro,-3))</f>
      </c>
      <c r="Y388" s="338"/>
      <c r="Z388" s="344">
        <f>IF(Q388="","",L388*Q388)</f>
      </c>
      <c r="AA388" s="322">
        <f>IF(Q388="","",Z388*afa)</f>
      </c>
      <c r="AB388" s="338" t="s">
        <v>229</v>
      </c>
      <c r="AE388" s="322">
        <f>Q388*(-102)</f>
        <v>0</v>
      </c>
    </row>
    <row r="389" spans="3:31" ht="12.75" customHeight="1" thickBot="1">
      <c r="C389" s="645"/>
      <c r="D389" s="646" t="s">
        <v>311</v>
      </c>
      <c r="E389" s="1078" t="s">
        <v>161</v>
      </c>
      <c r="F389" s="1078"/>
      <c r="G389" s="1078"/>
      <c r="H389" s="1078"/>
      <c r="I389" s="1078"/>
      <c r="J389" s="1078"/>
      <c r="K389" s="1078"/>
      <c r="L389" s="648">
        <f>IF(Q389="","",N389*1/afa)</f>
      </c>
      <c r="M389" s="647"/>
      <c r="N389" s="648">
        <f>N388</f>
        <v>-113.22</v>
      </c>
      <c r="O389" s="649"/>
      <c r="Q389" s="644"/>
      <c r="S389" s="324" t="s">
        <v>240</v>
      </c>
      <c r="U389" s="650">
        <f>IF(Q389="","",Q389*1.32*2.3)</f>
      </c>
      <c r="V389" s="651"/>
      <c r="W389" s="652">
        <f>IF(X389="","",X389*1/afa)</f>
      </c>
      <c r="X389" s="652">
        <f>IF(Q389=0,"",ROUNDUP(AA389*euro,-3))</f>
      </c>
      <c r="Y389" s="651"/>
      <c r="Z389" s="652">
        <f>IF(Q389="","",L389*Q389)</f>
      </c>
      <c r="AA389" s="653">
        <f>IF(Q389="","",Z389*afa)</f>
      </c>
      <c r="AB389" s="651" t="s">
        <v>229</v>
      </c>
      <c r="AE389" s="653">
        <f>Q389*(-102)</f>
        <v>0</v>
      </c>
    </row>
    <row r="390" spans="3:31" ht="21.75" customHeight="1" thickTop="1">
      <c r="C390" s="654" t="s">
        <v>368</v>
      </c>
      <c r="D390" s="380" t="s">
        <v>162</v>
      </c>
      <c r="E390" s="415"/>
      <c r="F390" s="415"/>
      <c r="G390" s="416"/>
      <c r="H390" s="415"/>
      <c r="I390" s="415"/>
      <c r="J390" s="415"/>
      <c r="K390" s="419"/>
      <c r="L390" s="420"/>
      <c r="M390" s="415"/>
      <c r="N390" s="420"/>
      <c r="O390" s="415"/>
      <c r="Q390" s="323"/>
      <c r="S390" s="324">
        <f>SUM(Q386:Q389)</f>
        <v>0</v>
      </c>
      <c r="U390" s="422">
        <f>SUM(U386:U389)</f>
        <v>0</v>
      </c>
      <c r="V390" s="416"/>
      <c r="W390" s="423">
        <f>ROUNDUP((X390*1/afa),-1)</f>
        <v>0</v>
      </c>
      <c r="X390" s="423">
        <f>ROUNDUP(AA390*euro,-3)</f>
        <v>0</v>
      </c>
      <c r="Y390" s="416"/>
      <c r="Z390" s="423">
        <f>SUM(Z386:Z389)*(1)</f>
        <v>0</v>
      </c>
      <c r="AA390" s="420">
        <f>Z390*afa</f>
        <v>0</v>
      </c>
      <c r="AB390" s="416"/>
      <c r="AE390" s="420">
        <f>IF(Z390&lt;0,S390*-102,0)</f>
        <v>0</v>
      </c>
    </row>
    <row r="391" spans="3:31" ht="4.5" customHeight="1">
      <c r="C391" s="290"/>
      <c r="D391" s="239"/>
      <c r="E391" s="239"/>
      <c r="F391" s="239"/>
      <c r="G391" s="263"/>
      <c r="H391" s="239"/>
      <c r="I391" s="239"/>
      <c r="J391" s="239"/>
      <c r="K391" s="553"/>
      <c r="L391" s="262"/>
      <c r="M391" s="239"/>
      <c r="N391" s="262"/>
      <c r="O391" s="239"/>
      <c r="Q391" s="655"/>
      <c r="S391" s="324"/>
      <c r="U391" s="504"/>
      <c r="V391" s="263"/>
      <c r="W391" s="301"/>
      <c r="X391" s="301"/>
      <c r="Y391" s="263"/>
      <c r="Z391" s="301"/>
      <c r="AA391" s="262"/>
      <c r="AB391" s="263"/>
      <c r="AE391" s="262"/>
    </row>
    <row r="392" spans="17:24" ht="12.75" customHeight="1">
      <c r="Q392" s="655"/>
      <c r="S392" s="324" t="s">
        <v>452</v>
      </c>
      <c r="X392" s="656" t="s">
        <v>353</v>
      </c>
    </row>
    <row r="393" spans="4:24" ht="12.75" customHeight="1">
      <c r="D393" s="657"/>
      <c r="Q393" s="655"/>
      <c r="S393" s="324"/>
      <c r="W393" s="658" t="s">
        <v>571</v>
      </c>
      <c r="X393" s="656" t="s">
        <v>355</v>
      </c>
    </row>
    <row r="394" spans="3:24" ht="12.75" customHeight="1">
      <c r="C394" s="299"/>
      <c r="D394" s="299"/>
      <c r="E394" s="299"/>
      <c r="F394" s="299"/>
      <c r="G394" s="299"/>
      <c r="H394" s="299"/>
      <c r="I394" s="299"/>
      <c r="J394" s="299"/>
      <c r="K394" s="299"/>
      <c r="L394" s="299"/>
      <c r="M394" s="299"/>
      <c r="N394" s="299"/>
      <c r="O394" s="294"/>
      <c r="P394" s="659" t="s">
        <v>354</v>
      </c>
      <c r="Q394" s="660"/>
      <c r="R394" s="661"/>
      <c r="S394" s="662"/>
      <c r="T394" s="294"/>
      <c r="U394" s="663"/>
      <c r="V394" s="664"/>
      <c r="W394" s="664"/>
      <c r="X394" s="656" t="s">
        <v>476</v>
      </c>
    </row>
    <row r="395" spans="14:22" ht="12.75" customHeight="1">
      <c r="N395" s="262"/>
      <c r="O395" s="239"/>
      <c r="P395" s="1009" t="s">
        <v>711</v>
      </c>
      <c r="Q395" s="1009"/>
      <c r="R395" s="376"/>
      <c r="S395" s="592"/>
      <c r="T395" s="239"/>
      <c r="U395" s="504"/>
      <c r="V395" s="263"/>
    </row>
    <row r="396" spans="1:31" ht="3" customHeight="1">
      <c r="A396" s="251"/>
      <c r="C396" s="239"/>
      <c r="D396" s="551"/>
      <c r="E396" s="551"/>
      <c r="F396" s="551"/>
      <c r="G396" s="583"/>
      <c r="H396" s="551"/>
      <c r="I396" s="551"/>
      <c r="J396" s="551"/>
      <c r="K396" s="665"/>
      <c r="L396" s="579"/>
      <c r="M396" s="551"/>
      <c r="N396" s="579"/>
      <c r="O396" s="551"/>
      <c r="P396" s="666"/>
      <c r="Q396" s="551"/>
      <c r="R396" s="667"/>
      <c r="S396" s="583"/>
      <c r="T396" s="551"/>
      <c r="U396" s="582"/>
      <c r="V396" s="583"/>
      <c r="W396" s="584"/>
      <c r="X396" s="584"/>
      <c r="Y396" s="583"/>
      <c r="Z396" s="584"/>
      <c r="AA396" s="579"/>
      <c r="AB396" s="583"/>
      <c r="AE396" s="579"/>
    </row>
    <row r="397" spans="1:31" ht="12.75" customHeight="1">
      <c r="A397" s="251"/>
      <c r="C397" s="290"/>
      <c r="D397" s="431" t="s">
        <v>356</v>
      </c>
      <c r="F397" s="668"/>
      <c r="G397" s="668" t="s">
        <v>357</v>
      </c>
      <c r="H397" s="537"/>
      <c r="I397" s="537"/>
      <c r="J397" s="537"/>
      <c r="K397" s="231" t="s">
        <v>358</v>
      </c>
      <c r="N397" s="669">
        <f>S42+S65+S88+S111+S125</f>
        <v>0</v>
      </c>
      <c r="P397" s="244" t="s">
        <v>240</v>
      </c>
      <c r="U397" s="245">
        <f>U42+U65+U88+U111+U125</f>
        <v>0</v>
      </c>
      <c r="V397" s="242" t="s">
        <v>233</v>
      </c>
      <c r="W397" s="246">
        <f aca="true" t="shared" si="115" ref="W397:W409">ROUNDUP((X397*1/afa),-1)</f>
        <v>0</v>
      </c>
      <c r="X397" s="246">
        <f aca="true" t="shared" si="116" ref="X397:X409">ROUNDUP(AA397*euro,-3)</f>
        <v>0</v>
      </c>
      <c r="Y397" s="242" t="s">
        <v>241</v>
      </c>
      <c r="Z397" s="246">
        <f>Z42+Z65+Z88+Z111+Z125</f>
        <v>0</v>
      </c>
      <c r="AA397" s="243">
        <f>Z397*afa</f>
        <v>0</v>
      </c>
      <c r="AB397" s="242" t="s">
        <v>229</v>
      </c>
      <c r="AE397" s="243">
        <f>AE127</f>
        <v>0</v>
      </c>
    </row>
    <row r="398" spans="3:31" ht="12.75" customHeight="1">
      <c r="C398" s="290"/>
      <c r="F398" s="668"/>
      <c r="G398" s="668" t="s">
        <v>359</v>
      </c>
      <c r="H398" s="537"/>
      <c r="I398" s="537"/>
      <c r="J398" s="537"/>
      <c r="K398" s="231" t="s">
        <v>358</v>
      </c>
      <c r="N398" s="669">
        <f>S186</f>
        <v>0</v>
      </c>
      <c r="P398" s="244" t="s">
        <v>240</v>
      </c>
      <c r="U398" s="245">
        <f>U186</f>
        <v>0</v>
      </c>
      <c r="V398" s="242" t="s">
        <v>233</v>
      </c>
      <c r="W398" s="246">
        <f t="shared" si="115"/>
        <v>0</v>
      </c>
      <c r="X398" s="246">
        <f t="shared" si="116"/>
        <v>0</v>
      </c>
      <c r="Y398" s="242" t="s">
        <v>241</v>
      </c>
      <c r="Z398" s="246">
        <f>Z186</f>
        <v>0</v>
      </c>
      <c r="AA398" s="243">
        <f aca="true" t="shared" si="117" ref="AA398:AA409">Z398*afa</f>
        <v>0</v>
      </c>
      <c r="AB398" s="242" t="s">
        <v>229</v>
      </c>
      <c r="AE398" s="243">
        <f>AE186</f>
        <v>0</v>
      </c>
    </row>
    <row r="399" spans="3:31" ht="12.75" customHeight="1">
      <c r="C399" s="290"/>
      <c r="G399" s="668" t="s">
        <v>360</v>
      </c>
      <c r="H399" s="537"/>
      <c r="I399" s="537"/>
      <c r="J399" s="537"/>
      <c r="K399" s="231" t="s">
        <v>358</v>
      </c>
      <c r="N399" s="669">
        <f>S213</f>
        <v>0</v>
      </c>
      <c r="P399" s="244" t="s">
        <v>240</v>
      </c>
      <c r="U399" s="245">
        <f>U201</f>
        <v>0</v>
      </c>
      <c r="V399" s="242" t="s">
        <v>233</v>
      </c>
      <c r="W399" s="246">
        <f t="shared" si="115"/>
        <v>0</v>
      </c>
      <c r="X399" s="246">
        <f t="shared" si="116"/>
        <v>0</v>
      </c>
      <c r="Y399" s="242" t="s">
        <v>241</v>
      </c>
      <c r="Z399" s="246">
        <f>Z201</f>
        <v>0</v>
      </c>
      <c r="AA399" s="243">
        <f t="shared" si="117"/>
        <v>0</v>
      </c>
      <c r="AB399" s="242" t="s">
        <v>229</v>
      </c>
      <c r="AE399" s="243">
        <f>AE201</f>
        <v>0</v>
      </c>
    </row>
    <row r="400" spans="3:31" ht="12.75" customHeight="1">
      <c r="C400" s="290"/>
      <c r="F400" s="668"/>
      <c r="G400" s="668" t="s">
        <v>465</v>
      </c>
      <c r="H400" s="537"/>
      <c r="I400" s="537"/>
      <c r="J400" s="537"/>
      <c r="K400" s="231" t="s">
        <v>358</v>
      </c>
      <c r="N400" s="669">
        <f>S215</f>
        <v>0</v>
      </c>
      <c r="P400" s="244" t="s">
        <v>240</v>
      </c>
      <c r="U400" s="245">
        <f>U212</f>
        <v>0</v>
      </c>
      <c r="V400" s="242" t="s">
        <v>318</v>
      </c>
      <c r="W400" s="246">
        <f t="shared" si="115"/>
        <v>0</v>
      </c>
      <c r="X400" s="246">
        <f t="shared" si="116"/>
        <v>0</v>
      </c>
      <c r="Y400" s="242" t="s">
        <v>241</v>
      </c>
      <c r="Z400" s="246">
        <f>Z213</f>
        <v>0</v>
      </c>
      <c r="AA400" s="243">
        <f t="shared" si="117"/>
        <v>0</v>
      </c>
      <c r="AB400" s="242" t="s">
        <v>229</v>
      </c>
      <c r="AE400" s="243">
        <f>AE212</f>
        <v>0</v>
      </c>
    </row>
    <row r="401" spans="3:31" ht="12.75" customHeight="1">
      <c r="C401" s="290"/>
      <c r="F401" s="668"/>
      <c r="G401" s="668" t="s">
        <v>361</v>
      </c>
      <c r="H401" s="537"/>
      <c r="I401" s="537"/>
      <c r="J401" s="537"/>
      <c r="K401" s="231" t="s">
        <v>358</v>
      </c>
      <c r="N401" s="669">
        <f>S230</f>
        <v>0</v>
      </c>
      <c r="P401" s="244" t="s">
        <v>240</v>
      </c>
      <c r="U401" s="245">
        <f>U230</f>
        <v>0</v>
      </c>
      <c r="V401" s="242" t="s">
        <v>233</v>
      </c>
      <c r="W401" s="246">
        <f t="shared" si="115"/>
        <v>0</v>
      </c>
      <c r="X401" s="246">
        <f t="shared" si="116"/>
        <v>0</v>
      </c>
      <c r="Y401" s="242" t="s">
        <v>241</v>
      </c>
      <c r="Z401" s="246">
        <f>Z230</f>
        <v>0</v>
      </c>
      <c r="AA401" s="243">
        <f t="shared" si="117"/>
        <v>0</v>
      </c>
      <c r="AB401" s="242" t="s">
        <v>229</v>
      </c>
      <c r="AE401" s="243">
        <f>AE230</f>
        <v>0</v>
      </c>
    </row>
    <row r="402" spans="3:31" ht="12.75" customHeight="1">
      <c r="C402" s="290"/>
      <c r="F402" s="537"/>
      <c r="G402" s="668" t="s">
        <v>362</v>
      </c>
      <c r="H402" s="537"/>
      <c r="I402" s="537"/>
      <c r="J402" s="537"/>
      <c r="K402" s="231" t="s">
        <v>358</v>
      </c>
      <c r="N402" s="669">
        <f>S237</f>
        <v>0</v>
      </c>
      <c r="P402" s="244" t="s">
        <v>240</v>
      </c>
      <c r="U402" s="245">
        <f>U237</f>
        <v>0</v>
      </c>
      <c r="V402" s="242" t="s">
        <v>233</v>
      </c>
      <c r="W402" s="246">
        <f t="shared" si="115"/>
        <v>0</v>
      </c>
      <c r="X402" s="246">
        <f t="shared" si="116"/>
        <v>0</v>
      </c>
      <c r="Y402" s="242" t="s">
        <v>241</v>
      </c>
      <c r="Z402" s="246">
        <f>Z237</f>
        <v>0</v>
      </c>
      <c r="AA402" s="243">
        <f t="shared" si="117"/>
        <v>0</v>
      </c>
      <c r="AB402" s="242" t="s">
        <v>229</v>
      </c>
      <c r="AE402" s="243">
        <f>AE237</f>
        <v>0</v>
      </c>
    </row>
    <row r="403" spans="3:31" ht="12.75" customHeight="1">
      <c r="C403" s="290"/>
      <c r="F403" s="537" t="s">
        <v>363</v>
      </c>
      <c r="G403" s="385"/>
      <c r="H403" s="537"/>
      <c r="I403" s="537" t="s">
        <v>358</v>
      </c>
      <c r="J403" s="537"/>
      <c r="N403" s="669">
        <f>S253</f>
        <v>0</v>
      </c>
      <c r="P403" s="244" t="s">
        <v>240</v>
      </c>
      <c r="U403" s="245">
        <f>U253</f>
        <v>0</v>
      </c>
      <c r="V403" s="242" t="s">
        <v>233</v>
      </c>
      <c r="W403" s="246">
        <f t="shared" si="115"/>
        <v>0</v>
      </c>
      <c r="X403" s="246">
        <f t="shared" si="116"/>
        <v>0</v>
      </c>
      <c r="Y403" s="242" t="s">
        <v>241</v>
      </c>
      <c r="Z403" s="246">
        <f>Z253</f>
        <v>0</v>
      </c>
      <c r="AA403" s="243">
        <f t="shared" si="117"/>
        <v>0</v>
      </c>
      <c r="AB403" s="242" t="s">
        <v>229</v>
      </c>
      <c r="AE403" s="243">
        <f>AE253</f>
        <v>0</v>
      </c>
    </row>
    <row r="404" spans="3:31" ht="12.75" customHeight="1">
      <c r="C404" s="290"/>
      <c r="F404" s="537" t="s">
        <v>364</v>
      </c>
      <c r="G404" s="385"/>
      <c r="H404" s="537"/>
      <c r="I404" s="537" t="s">
        <v>358</v>
      </c>
      <c r="J404" s="537"/>
      <c r="N404" s="669">
        <f>S265</f>
        <v>0</v>
      </c>
      <c r="P404" s="244" t="s">
        <v>240</v>
      </c>
      <c r="U404" s="245">
        <f>U265</f>
        <v>0</v>
      </c>
      <c r="V404" s="242" t="s">
        <v>233</v>
      </c>
      <c r="W404" s="246">
        <f t="shared" si="115"/>
        <v>0</v>
      </c>
      <c r="X404" s="246">
        <f t="shared" si="116"/>
        <v>0</v>
      </c>
      <c r="Y404" s="242" t="s">
        <v>241</v>
      </c>
      <c r="Z404" s="246">
        <f>Z265</f>
        <v>0</v>
      </c>
      <c r="AA404" s="243">
        <f t="shared" si="117"/>
        <v>0</v>
      </c>
      <c r="AB404" s="242" t="s">
        <v>229</v>
      </c>
      <c r="AE404" s="243">
        <f>AE265</f>
        <v>0</v>
      </c>
    </row>
    <row r="405" spans="3:31" ht="12.75" customHeight="1">
      <c r="C405" s="290"/>
      <c r="F405" s="537" t="s">
        <v>365</v>
      </c>
      <c r="G405" s="385"/>
      <c r="H405" s="537"/>
      <c r="I405" s="537" t="s">
        <v>358</v>
      </c>
      <c r="J405" s="537"/>
      <c r="N405" s="669">
        <f>S277</f>
        <v>0</v>
      </c>
      <c r="P405" s="244" t="s">
        <v>240</v>
      </c>
      <c r="U405" s="245">
        <f>U277</f>
        <v>0</v>
      </c>
      <c r="V405" s="242" t="s">
        <v>233</v>
      </c>
      <c r="W405" s="246">
        <f t="shared" si="115"/>
        <v>0</v>
      </c>
      <c r="X405" s="246">
        <f t="shared" si="116"/>
        <v>0</v>
      </c>
      <c r="Y405" s="242" t="s">
        <v>241</v>
      </c>
      <c r="Z405" s="246">
        <f>Z277</f>
        <v>0</v>
      </c>
      <c r="AA405" s="243">
        <f t="shared" si="117"/>
        <v>0</v>
      </c>
      <c r="AB405" s="242" t="s">
        <v>229</v>
      </c>
      <c r="AE405" s="243">
        <f>AE277</f>
        <v>0</v>
      </c>
    </row>
    <row r="406" spans="3:31" ht="12.75" customHeight="1">
      <c r="C406" s="290"/>
      <c r="E406" s="537" t="s">
        <v>366</v>
      </c>
      <c r="F406" s="537"/>
      <c r="G406" s="385"/>
      <c r="H406" s="537"/>
      <c r="I406" s="537">
        <f>F377</f>
        <v>0</v>
      </c>
      <c r="J406" s="537"/>
      <c r="K406" s="670"/>
      <c r="L406" s="669"/>
      <c r="M406" s="537"/>
      <c r="N406" s="669">
        <f>Q377</f>
        <v>0</v>
      </c>
      <c r="P406" s="244" t="s">
        <v>240</v>
      </c>
      <c r="U406" s="245">
        <f>U377*Q377</f>
        <v>0</v>
      </c>
      <c r="V406" s="242" t="s">
        <v>233</v>
      </c>
      <c r="W406" s="246">
        <f t="shared" si="115"/>
        <v>0</v>
      </c>
      <c r="X406" s="246">
        <f t="shared" si="116"/>
        <v>0</v>
      </c>
      <c r="Y406" s="242" t="s">
        <v>241</v>
      </c>
      <c r="Z406" s="246">
        <f>Z377*(((Q377)))</f>
        <v>0</v>
      </c>
      <c r="AA406" s="243">
        <f t="shared" si="117"/>
        <v>0</v>
      </c>
      <c r="AB406" s="242" t="s">
        <v>229</v>
      </c>
      <c r="AE406" s="243">
        <f>AE377</f>
        <v>0</v>
      </c>
    </row>
    <row r="407" spans="3:28" ht="12.75" customHeight="1">
      <c r="C407" s="290"/>
      <c r="E407" s="537" t="s">
        <v>466</v>
      </c>
      <c r="F407" s="537"/>
      <c r="G407" s="385"/>
      <c r="H407" s="537"/>
      <c r="I407" s="537"/>
      <c r="J407" s="537"/>
      <c r="K407" s="670"/>
      <c r="L407" s="669"/>
      <c r="M407" s="537"/>
      <c r="N407" s="669">
        <f>Q367+Q368+Q369</f>
        <v>0</v>
      </c>
      <c r="P407" s="244" t="s">
        <v>240</v>
      </c>
      <c r="W407" s="246">
        <f t="shared" si="115"/>
        <v>0</v>
      </c>
      <c r="X407" s="246">
        <f t="shared" si="116"/>
        <v>0</v>
      </c>
      <c r="Y407" s="242" t="s">
        <v>241</v>
      </c>
      <c r="Z407" s="246">
        <f>SUM(Z367:Z369)</f>
        <v>0</v>
      </c>
      <c r="AA407" s="243">
        <f t="shared" si="117"/>
        <v>0</v>
      </c>
      <c r="AB407" s="242" t="s">
        <v>229</v>
      </c>
    </row>
    <row r="408" spans="3:28" ht="12.75" customHeight="1">
      <c r="C408" s="290"/>
      <c r="E408" s="537" t="s">
        <v>472</v>
      </c>
      <c r="F408" s="537"/>
      <c r="G408" s="385"/>
      <c r="H408" s="537"/>
      <c r="I408" s="537"/>
      <c r="J408" s="537"/>
      <c r="K408" s="670"/>
      <c r="L408" s="669"/>
      <c r="M408" s="537"/>
      <c r="N408" s="669">
        <f>Q370</f>
        <v>0</v>
      </c>
      <c r="P408" s="244" t="s">
        <v>240</v>
      </c>
      <c r="W408" s="246">
        <f t="shared" si="115"/>
        <v>0</v>
      </c>
      <c r="X408" s="246">
        <f t="shared" si="116"/>
        <v>0</v>
      </c>
      <c r="Y408" s="242" t="s">
        <v>241</v>
      </c>
      <c r="Z408" s="246">
        <f>Z370</f>
        <v>0</v>
      </c>
      <c r="AA408" s="243">
        <f t="shared" si="117"/>
        <v>0</v>
      </c>
      <c r="AB408" s="242" t="s">
        <v>229</v>
      </c>
    </row>
    <row r="409" spans="3:28" ht="12.75" customHeight="1">
      <c r="C409" s="290"/>
      <c r="E409" s="537" t="s">
        <v>367</v>
      </c>
      <c r="F409" s="537"/>
      <c r="G409" s="385"/>
      <c r="H409" s="537"/>
      <c r="I409" s="537"/>
      <c r="J409" s="537"/>
      <c r="K409" s="670"/>
      <c r="L409" s="669"/>
      <c r="M409" s="537"/>
      <c r="N409" s="669">
        <f>Q373</f>
        <v>0</v>
      </c>
      <c r="P409" s="244" t="s">
        <v>240</v>
      </c>
      <c r="W409" s="246">
        <f t="shared" si="115"/>
        <v>0</v>
      </c>
      <c r="X409" s="246">
        <f t="shared" si="116"/>
        <v>0</v>
      </c>
      <c r="Y409" s="242" t="s">
        <v>241</v>
      </c>
      <c r="Z409" s="246">
        <f>Z373</f>
        <v>0</v>
      </c>
      <c r="AA409" s="243">
        <f t="shared" si="117"/>
        <v>0</v>
      </c>
      <c r="AB409" s="242" t="s">
        <v>229</v>
      </c>
    </row>
    <row r="410" ht="12.75" customHeight="1">
      <c r="C410" s="290"/>
    </row>
    <row r="411" spans="1:31" ht="22.5" customHeight="1">
      <c r="A411" s="251"/>
      <c r="C411" s="375" t="s">
        <v>372</v>
      </c>
      <c r="D411" s="239"/>
      <c r="E411" s="239" t="s">
        <v>163</v>
      </c>
      <c r="F411" s="239"/>
      <c r="G411" s="263"/>
      <c r="H411" s="239"/>
      <c r="I411" s="239"/>
      <c r="J411" s="239"/>
      <c r="K411" s="553"/>
      <c r="L411" s="262"/>
      <c r="M411" s="239"/>
      <c r="N411" s="262">
        <f>SUM(N397:N409)</f>
        <v>0</v>
      </c>
      <c r="O411" s="239"/>
      <c r="P411" s="671" t="s">
        <v>240</v>
      </c>
      <c r="Q411" s="239"/>
      <c r="R411" s="672"/>
      <c r="S411" s="263"/>
      <c r="T411" s="239"/>
      <c r="U411" s="504">
        <f>SUM(U397:U406)</f>
        <v>0</v>
      </c>
      <c r="V411" s="263" t="s">
        <v>233</v>
      </c>
      <c r="W411" s="301">
        <f>ROUNDUP((X411*1/afa),-1)</f>
        <v>0</v>
      </c>
      <c r="X411" s="301">
        <f>ROUNDUP(AA411*euro,-3)</f>
        <v>0</v>
      </c>
      <c r="Y411" s="263" t="s">
        <v>241</v>
      </c>
      <c r="Z411" s="301">
        <f>SUM(Z397:Z409)</f>
        <v>0</v>
      </c>
      <c r="AA411" s="262">
        <f>Z411*afa</f>
        <v>0</v>
      </c>
      <c r="AB411" s="263" t="s">
        <v>229</v>
      </c>
      <c r="AE411" s="262">
        <f>SUM(AE397:AE410)</f>
        <v>0</v>
      </c>
    </row>
    <row r="412" ht="12.75" customHeight="1"/>
    <row r="413" spans="4:28" ht="12.75" customHeight="1">
      <c r="D413" s="240">
        <v>30</v>
      </c>
      <c r="E413" s="240" t="s">
        <v>369</v>
      </c>
      <c r="F413" s="240">
        <v>10</v>
      </c>
      <c r="H413" s="240" t="s">
        <v>370</v>
      </c>
      <c r="I413" s="673">
        <v>0.01</v>
      </c>
      <c r="J413" s="240" t="s">
        <v>557</v>
      </c>
      <c r="L413" s="243">
        <v>8</v>
      </c>
      <c r="N413" s="243" t="s">
        <v>371</v>
      </c>
      <c r="O413" s="674">
        <f>(ROUNDDOWN(((U411-D413))/F413,0))*S413*100</f>
        <v>-3</v>
      </c>
      <c r="P413" s="675">
        <f>IF(O413&gt;L413,L413,O413)</f>
        <v>-3</v>
      </c>
      <c r="Q413" s="675">
        <f>IF(T413&lt;0,0,T413)</f>
        <v>0</v>
      </c>
      <c r="R413" s="676"/>
      <c r="S413" s="677">
        <f>I413</f>
        <v>0.01</v>
      </c>
      <c r="T413" s="675">
        <f>IF(O413&gt;L413,L413,O413)</f>
        <v>-3</v>
      </c>
      <c r="U413" s="678">
        <f>Q413/100</f>
        <v>0</v>
      </c>
      <c r="V413" s="242">
        <f>IF(Q413&gt;R413,R413,Q413)</f>
        <v>0</v>
      </c>
      <c r="W413" s="246">
        <f>ROUNDUP((X413*1/afa),-1)</f>
        <v>0</v>
      </c>
      <c r="X413" s="246">
        <f>ROUNDUP(AA413*euro,-3)</f>
        <v>0</v>
      </c>
      <c r="Y413" s="242" t="s">
        <v>241</v>
      </c>
      <c r="Z413" s="246">
        <f>(IF(Z411/100*Z411&gt;1,Q413/100*Z411,0))*-1</f>
        <v>0</v>
      </c>
      <c r="AA413" s="243">
        <f>Z413*afa</f>
        <v>0</v>
      </c>
      <c r="AB413" s="242" t="s">
        <v>229</v>
      </c>
    </row>
    <row r="414" ht="12.75" customHeight="1"/>
    <row r="415" spans="5:27" ht="12.75" customHeight="1">
      <c r="E415" s="679" t="s">
        <v>179</v>
      </c>
      <c r="F415" s="288"/>
      <c r="G415" s="338"/>
      <c r="H415" s="288"/>
      <c r="I415" s="288"/>
      <c r="J415" s="288"/>
      <c r="K415" s="342"/>
      <c r="L415" s="322"/>
      <c r="M415" s="288"/>
      <c r="N415" s="322"/>
      <c r="O415" s="288"/>
      <c r="P415" s="680"/>
      <c r="Q415" s="288"/>
      <c r="R415" s="681"/>
      <c r="S415" s="338"/>
      <c r="T415" s="288"/>
      <c r="U415" s="343"/>
      <c r="V415" s="338"/>
      <c r="W415" s="584">
        <f>ROUNDUP((X415*1/afa),-1)</f>
        <v>0</v>
      </c>
      <c r="X415" s="584">
        <f>ROUNDUP(AA415*euro,-3)</f>
        <v>0</v>
      </c>
      <c r="Y415" s="583"/>
      <c r="Z415" s="584">
        <f>IF(Z390&lt;0,Z390,0)+IF(Z413&lt;0,Z413,0)</f>
        <v>0</v>
      </c>
      <c r="AA415" s="579">
        <f>Z415*afa</f>
        <v>0</v>
      </c>
    </row>
    <row r="416" ht="12.75" customHeight="1"/>
    <row r="417" spans="3:28" ht="12.75" customHeight="1">
      <c r="C417" s="375" t="s">
        <v>373</v>
      </c>
      <c r="D417" s="240" t="s">
        <v>178</v>
      </c>
      <c r="N417" s="243">
        <f>N411</f>
        <v>0</v>
      </c>
      <c r="P417" s="244" t="s">
        <v>240</v>
      </c>
      <c r="U417" s="245">
        <f>U411+0.000001</f>
        <v>1E-06</v>
      </c>
      <c r="V417" s="242" t="str">
        <f>V397</f>
        <v>m2</v>
      </c>
      <c r="W417" s="246">
        <f>ROUNDUP((X417*1/afa),-1)</f>
        <v>0</v>
      </c>
      <c r="X417" s="246">
        <f>ROUNDUP(AA417*euro,-4)</f>
        <v>0</v>
      </c>
      <c r="Y417" s="242" t="s">
        <v>241</v>
      </c>
      <c r="Z417" s="246">
        <f>Z382+Z415</f>
        <v>0</v>
      </c>
      <c r="AA417" s="243">
        <f>Z417*afa</f>
        <v>0</v>
      </c>
      <c r="AB417" s="242" t="s">
        <v>229</v>
      </c>
    </row>
    <row r="418" ht="12.75" customHeight="1"/>
    <row r="419" spans="3:31" ht="19.5" customHeight="1">
      <c r="C419" s="682" t="s">
        <v>469</v>
      </c>
      <c r="D419" s="683" t="s">
        <v>217</v>
      </c>
      <c r="E419" s="327" t="s">
        <v>144</v>
      </c>
      <c r="F419" s="327"/>
      <c r="G419" s="328"/>
      <c r="H419" s="327"/>
      <c r="I419" s="327"/>
      <c r="J419" s="327"/>
      <c r="K419" s="332"/>
      <c r="L419" s="333">
        <f>Z417/100</f>
        <v>0</v>
      </c>
      <c r="M419" s="327"/>
      <c r="N419" s="333"/>
      <c r="O419" s="327"/>
      <c r="P419" s="684"/>
      <c r="Q419" s="327">
        <v>0</v>
      </c>
      <c r="R419" s="685" t="s">
        <v>374</v>
      </c>
      <c r="S419" s="328"/>
      <c r="T419" s="327"/>
      <c r="U419" s="335"/>
      <c r="V419" s="328"/>
      <c r="W419" s="336">
        <f>X419*1/afa</f>
        <v>0</v>
      </c>
      <c r="X419" s="336">
        <f>ROUNDUP(AA419*euro,-3)</f>
        <v>0</v>
      </c>
      <c r="Y419" s="328" t="s">
        <v>241</v>
      </c>
      <c r="Z419" s="336">
        <f>L419*Q419</f>
        <v>0</v>
      </c>
      <c r="AA419" s="333">
        <f>Z419*afa</f>
        <v>0</v>
      </c>
      <c r="AB419" s="328" t="s">
        <v>229</v>
      </c>
      <c r="AE419" s="333"/>
    </row>
    <row r="420" spans="3:31" ht="19.5" customHeight="1">
      <c r="C420" s="686" t="s">
        <v>470</v>
      </c>
      <c r="D420" s="687" t="s">
        <v>218</v>
      </c>
      <c r="E420" s="288" t="s">
        <v>145</v>
      </c>
      <c r="F420" s="288"/>
      <c r="G420" s="338"/>
      <c r="H420" s="288"/>
      <c r="I420" s="288"/>
      <c r="J420" s="288"/>
      <c r="K420" s="342"/>
      <c r="L420" s="322">
        <f>Z417/100</f>
        <v>0</v>
      </c>
      <c r="M420" s="288"/>
      <c r="N420" s="322"/>
      <c r="O420" s="288"/>
      <c r="P420" s="680"/>
      <c r="Q420" s="288">
        <v>0</v>
      </c>
      <c r="R420" s="681" t="s">
        <v>374</v>
      </c>
      <c r="S420" s="338"/>
      <c r="T420" s="288"/>
      <c r="U420" s="343"/>
      <c r="V420" s="338"/>
      <c r="W420" s="344">
        <f>X420*1/afa</f>
        <v>0</v>
      </c>
      <c r="X420" s="344">
        <f>ROUNDUP(AA420*euro,-3)</f>
        <v>0</v>
      </c>
      <c r="Y420" s="338" t="s">
        <v>241</v>
      </c>
      <c r="Z420" s="344">
        <f>L420*Q420</f>
        <v>0</v>
      </c>
      <c r="AA420" s="322">
        <f>Z420*afa</f>
        <v>0</v>
      </c>
      <c r="AB420" s="338" t="s">
        <v>229</v>
      </c>
      <c r="AE420" s="322"/>
    </row>
    <row r="421" spans="3:31" ht="19.5" customHeight="1" thickBot="1">
      <c r="C421" s="688" t="s">
        <v>471</v>
      </c>
      <c r="D421" s="689" t="s">
        <v>310</v>
      </c>
      <c r="E421" s="649" t="s">
        <v>146</v>
      </c>
      <c r="F421" s="649"/>
      <c r="G421" s="651"/>
      <c r="H421" s="649"/>
      <c r="I421" s="649"/>
      <c r="J421" s="649"/>
      <c r="K421" s="690"/>
      <c r="L421" s="653">
        <f>Z417/100</f>
        <v>0</v>
      </c>
      <c r="M421" s="649"/>
      <c r="N421" s="653"/>
      <c r="O421" s="649"/>
      <c r="P421" s="691"/>
      <c r="Q421" s="649">
        <v>0</v>
      </c>
      <c r="R421" s="692" t="s">
        <v>374</v>
      </c>
      <c r="S421" s="651"/>
      <c r="T421" s="649"/>
      <c r="U421" s="650"/>
      <c r="V421" s="651"/>
      <c r="W421" s="652">
        <f>X421*1/afa</f>
        <v>0</v>
      </c>
      <c r="X421" s="652">
        <f>ROUNDUP(AA421*euro,-3)</f>
        <v>0</v>
      </c>
      <c r="Y421" s="651" t="s">
        <v>241</v>
      </c>
      <c r="Z421" s="652">
        <f>L421*Q421</f>
        <v>0</v>
      </c>
      <c r="AA421" s="653">
        <f>Z421*afa</f>
        <v>0</v>
      </c>
      <c r="AB421" s="651" t="s">
        <v>229</v>
      </c>
      <c r="AE421" s="653"/>
    </row>
    <row r="422" ht="12.75" customHeight="1" thickTop="1"/>
    <row r="423" spans="1:31" ht="3" customHeight="1">
      <c r="A423" s="251"/>
      <c r="C423" s="554"/>
      <c r="D423" s="540"/>
      <c r="E423" s="540"/>
      <c r="F423" s="540"/>
      <c r="G423" s="541"/>
      <c r="H423" s="540"/>
      <c r="I423" s="540"/>
      <c r="J423" s="540"/>
      <c r="K423" s="542"/>
      <c r="L423" s="543"/>
      <c r="M423" s="540"/>
      <c r="N423" s="543"/>
      <c r="O423" s="540"/>
      <c r="P423" s="693"/>
      <c r="Q423" s="540"/>
      <c r="R423" s="694"/>
      <c r="S423" s="541"/>
      <c r="T423" s="540"/>
      <c r="U423" s="544"/>
      <c r="V423" s="541"/>
      <c r="W423" s="545"/>
      <c r="X423" s="545"/>
      <c r="Y423" s="541"/>
      <c r="Z423" s="545"/>
      <c r="AA423" s="543"/>
      <c r="AB423" s="541"/>
      <c r="AE423" s="543"/>
    </row>
    <row r="424" spans="1:31" ht="19.5" customHeight="1">
      <c r="A424" s="251"/>
      <c r="C424" s="695" t="s">
        <v>375</v>
      </c>
      <c r="D424" s="696"/>
      <c r="E424" s="696" t="s">
        <v>456</v>
      </c>
      <c r="F424" s="696"/>
      <c r="G424" s="553"/>
      <c r="H424" s="696"/>
      <c r="I424" s="696"/>
      <c r="J424" s="696"/>
      <c r="K424" s="553"/>
      <c r="L424" s="697"/>
      <c r="M424" s="696"/>
      <c r="N424" s="697"/>
      <c r="O424" s="696"/>
      <c r="P424" s="698"/>
      <c r="Q424" s="696"/>
      <c r="R424" s="672"/>
      <c r="S424" s="553"/>
      <c r="T424" s="696"/>
      <c r="U424" s="859">
        <f>U417</f>
        <v>1E-06</v>
      </c>
      <c r="V424" s="553" t="str">
        <f>V411</f>
        <v>m2</v>
      </c>
      <c r="W424" s="699">
        <f>ROUNDUP((X424*1/afa),-1)</f>
        <v>0</v>
      </c>
      <c r="X424" s="699">
        <f>ROUNDUP(AA424*euro,-4)</f>
        <v>0</v>
      </c>
      <c r="Y424" s="553" t="s">
        <v>241</v>
      </c>
      <c r="Z424" s="699">
        <f>Z417+Z420+Z421</f>
        <v>0</v>
      </c>
      <c r="AA424" s="697">
        <f>Z424*afa</f>
        <v>0</v>
      </c>
      <c r="AB424" s="553" t="s">
        <v>229</v>
      </c>
      <c r="AC424" s="229"/>
      <c r="AD424" s="229"/>
      <c r="AE424" s="697"/>
    </row>
    <row r="425" spans="1:31" ht="3" customHeight="1">
      <c r="A425" s="251"/>
      <c r="C425" s="229"/>
      <c r="D425" s="229"/>
      <c r="E425" s="229"/>
      <c r="F425" s="229"/>
      <c r="G425" s="231"/>
      <c r="H425" s="229"/>
      <c r="I425" s="229"/>
      <c r="J425" s="229"/>
      <c r="L425" s="232"/>
      <c r="M425" s="229"/>
      <c r="N425" s="232"/>
      <c r="O425" s="229"/>
      <c r="P425" s="233"/>
      <c r="Q425" s="229"/>
      <c r="S425" s="231"/>
      <c r="T425" s="229"/>
      <c r="U425" s="236"/>
      <c r="V425" s="231"/>
      <c r="W425" s="237"/>
      <c r="X425" s="237"/>
      <c r="Y425" s="231"/>
      <c r="Z425" s="237"/>
      <c r="AA425" s="232"/>
      <c r="AB425" s="231"/>
      <c r="AC425" s="229"/>
      <c r="AD425" s="229"/>
      <c r="AE425" s="232"/>
    </row>
    <row r="426" spans="1:31" ht="19.5" customHeight="1">
      <c r="A426" s="251"/>
      <c r="C426" s="700"/>
      <c r="D426" s="701" t="s">
        <v>217</v>
      </c>
      <c r="E426" s="696" t="s">
        <v>504</v>
      </c>
      <c r="F426" s="702" t="s">
        <v>501</v>
      </c>
      <c r="G426" s="553"/>
      <c r="H426" s="696"/>
      <c r="I426" s="696"/>
      <c r="J426" s="696"/>
      <c r="K426" s="553"/>
      <c r="L426" s="697"/>
      <c r="M426" s="696"/>
      <c r="N426" s="697"/>
      <c r="O426" s="696"/>
      <c r="P426" s="698"/>
      <c r="Q426" s="696">
        <v>1</v>
      </c>
      <c r="R426" s="672"/>
      <c r="S426" s="553">
        <v>0.15</v>
      </c>
      <c r="T426" s="696"/>
      <c r="U426" s="703">
        <f>S426</f>
        <v>0.15</v>
      </c>
      <c r="V426" s="553"/>
      <c r="W426" s="699">
        <f>ROUNDUP((X426*1/afa),-1)</f>
        <v>0</v>
      </c>
      <c r="X426" s="704">
        <f>ROUNDUP((AA426*euro),-4)</f>
        <v>0</v>
      </c>
      <c r="Y426" s="553" t="s">
        <v>241</v>
      </c>
      <c r="Z426" s="699">
        <f>ROUNDUP(Z424*U426,-1)</f>
        <v>0</v>
      </c>
      <c r="AA426" s="705">
        <f>Z426*afa</f>
        <v>0</v>
      </c>
      <c r="AB426" s="553" t="s">
        <v>229</v>
      </c>
      <c r="AC426" s="229"/>
      <c r="AD426" s="229"/>
      <c r="AE426" s="697"/>
    </row>
    <row r="427" spans="1:31" ht="19.5" customHeight="1">
      <c r="A427" s="251"/>
      <c r="C427" s="700"/>
      <c r="D427" s="701" t="s">
        <v>218</v>
      </c>
      <c r="E427" s="696" t="s">
        <v>505</v>
      </c>
      <c r="F427" s="702" t="s">
        <v>502</v>
      </c>
      <c r="G427" s="553"/>
      <c r="H427" s="696"/>
      <c r="I427" s="696"/>
      <c r="J427" s="696"/>
      <c r="K427" s="553"/>
      <c r="L427" s="697"/>
      <c r="M427" s="696"/>
      <c r="N427" s="697"/>
      <c r="O427" s="696"/>
      <c r="P427" s="698"/>
      <c r="Q427" s="696">
        <v>1</v>
      </c>
      <c r="R427" s="672"/>
      <c r="S427" s="553">
        <v>0.55</v>
      </c>
      <c r="T427" s="696"/>
      <c r="U427" s="703">
        <f>S427</f>
        <v>0.55</v>
      </c>
      <c r="V427" s="553"/>
      <c r="W427" s="699">
        <f>ROUNDUP((X427*1/afa),-1)</f>
        <v>0</v>
      </c>
      <c r="X427" s="704">
        <f>ROUNDUP((AA427*euro),-4)</f>
        <v>0</v>
      </c>
      <c r="Y427" s="553" t="s">
        <v>241</v>
      </c>
      <c r="Z427" s="699">
        <f>ROUNDUP(Z424*U427,-1)</f>
        <v>0</v>
      </c>
      <c r="AA427" s="705">
        <f>Z427*afa</f>
        <v>0</v>
      </c>
      <c r="AB427" s="553" t="s">
        <v>229</v>
      </c>
      <c r="AC427" s="229"/>
      <c r="AD427" s="229"/>
      <c r="AE427" s="697"/>
    </row>
    <row r="428" spans="1:31" ht="19.5" customHeight="1">
      <c r="A428" s="251"/>
      <c r="C428" s="700"/>
      <c r="D428" s="701" t="s">
        <v>310</v>
      </c>
      <c r="E428" s="696" t="s">
        <v>506</v>
      </c>
      <c r="F428" s="702" t="s">
        <v>503</v>
      </c>
      <c r="G428" s="553"/>
      <c r="H428" s="696"/>
      <c r="I428" s="696"/>
      <c r="J428" s="696"/>
      <c r="K428" s="553"/>
      <c r="L428" s="697"/>
      <c r="M428" s="696"/>
      <c r="N428" s="697"/>
      <c r="O428" s="696"/>
      <c r="P428" s="698"/>
      <c r="Q428" s="696">
        <v>1</v>
      </c>
      <c r="R428" s="672"/>
      <c r="S428" s="553">
        <f>1-S426-S427</f>
        <v>0.29999999999999993</v>
      </c>
      <c r="T428" s="696"/>
      <c r="U428" s="703">
        <f>S428</f>
        <v>0.29999999999999993</v>
      </c>
      <c r="V428" s="553"/>
      <c r="W428" s="699">
        <f>ROUNDUP((X428*1/afa),-1)</f>
        <v>0</v>
      </c>
      <c r="X428" s="704">
        <f>X424-X426-X427</f>
        <v>0</v>
      </c>
      <c r="Y428" s="553" t="s">
        <v>241</v>
      </c>
      <c r="Z428" s="699">
        <f>ROUNDUP(Z424*U428,-1)</f>
        <v>0</v>
      </c>
      <c r="AA428" s="705">
        <f>Z428*afa</f>
        <v>0</v>
      </c>
      <c r="AB428" s="553" t="s">
        <v>229</v>
      </c>
      <c r="AC428" s="229"/>
      <c r="AD428" s="229"/>
      <c r="AE428" s="697"/>
    </row>
    <row r="429" spans="1:31" ht="3" customHeight="1">
      <c r="A429" s="251"/>
      <c r="C429" s="554"/>
      <c r="D429" s="540"/>
      <c r="E429" s="540"/>
      <c r="F429" s="540"/>
      <c r="G429" s="541"/>
      <c r="H429" s="540"/>
      <c r="I429" s="540"/>
      <c r="J429" s="540"/>
      <c r="K429" s="542"/>
      <c r="L429" s="543"/>
      <c r="M429" s="540"/>
      <c r="N429" s="543"/>
      <c r="O429" s="540"/>
      <c r="P429" s="693"/>
      <c r="Q429" s="540"/>
      <c r="R429" s="694"/>
      <c r="S429" s="541"/>
      <c r="T429" s="540"/>
      <c r="U429" s="544"/>
      <c r="V429" s="541"/>
      <c r="W429" s="545"/>
      <c r="X429" s="545"/>
      <c r="Y429" s="541"/>
      <c r="Z429" s="545"/>
      <c r="AA429" s="543"/>
      <c r="AB429" s="541"/>
      <c r="AE429" s="543" t="s">
        <v>376</v>
      </c>
    </row>
    <row r="430" spans="1:32" ht="23.25" customHeight="1">
      <c r="A430" s="251"/>
      <c r="C430" s="706" t="s">
        <v>373</v>
      </c>
      <c r="D430" s="707"/>
      <c r="E430" s="708" t="s">
        <v>508</v>
      </c>
      <c r="F430" s="709" t="s">
        <v>507</v>
      </c>
      <c r="G430" s="710"/>
      <c r="H430" s="707"/>
      <c r="I430" s="707"/>
      <c r="J430" s="707"/>
      <c r="K430" s="710"/>
      <c r="L430" s="711"/>
      <c r="M430" s="707"/>
      <c r="N430" s="711"/>
      <c r="O430" s="707"/>
      <c r="P430" s="712"/>
      <c r="Q430" s="707">
        <f>SUM(Q426:Q428)</f>
        <v>3</v>
      </c>
      <c r="R430" s="713"/>
      <c r="S430" s="710">
        <f>SUM(S426:S428)</f>
        <v>1</v>
      </c>
      <c r="T430" s="707"/>
      <c r="U430" s="714">
        <f>SUM(U426:U428)</f>
        <v>1</v>
      </c>
      <c r="V430" s="710"/>
      <c r="W430" s="715">
        <f>ROUNDUP((X430*1/afa),-1)</f>
        <v>0</v>
      </c>
      <c r="X430" s="716">
        <f>SUM(X426:X428)</f>
        <v>0</v>
      </c>
      <c r="Y430" s="710" t="s">
        <v>241</v>
      </c>
      <c r="Z430" s="715">
        <f>SUM(Z426:Z428)</f>
        <v>0</v>
      </c>
      <c r="AA430" s="717">
        <f>SUM(AA426:AA428)</f>
        <v>0</v>
      </c>
      <c r="AB430" s="710" t="s">
        <v>229</v>
      </c>
      <c r="AC430" s="707"/>
      <c r="AD430" s="707"/>
      <c r="AE430" s="718">
        <f>AE390+AE411</f>
        <v>0</v>
      </c>
      <c r="AF430" s="428" t="s">
        <v>238</v>
      </c>
    </row>
    <row r="431" spans="1:31" ht="4.5" customHeight="1">
      <c r="A431" s="251"/>
      <c r="C431" s="719"/>
      <c r="D431" s="540"/>
      <c r="E431" s="540"/>
      <c r="F431" s="540"/>
      <c r="G431" s="541"/>
      <c r="H431" s="540"/>
      <c r="I431" s="540"/>
      <c r="J431" s="540"/>
      <c r="K431" s="542"/>
      <c r="L431" s="543"/>
      <c r="M431" s="540"/>
      <c r="N431" s="543"/>
      <c r="O431" s="540"/>
      <c r="P431" s="693"/>
      <c r="Q431" s="540"/>
      <c r="R431" s="694"/>
      <c r="S431" s="541"/>
      <c r="T431" s="540"/>
      <c r="U431" s="544"/>
      <c r="V431" s="541"/>
      <c r="W431" s="545"/>
      <c r="X431" s="545"/>
      <c r="Y431" s="541"/>
      <c r="Z431" s="545"/>
      <c r="AA431" s="543"/>
      <c r="AB431" s="541"/>
      <c r="AE431" s="543"/>
    </row>
    <row r="432" spans="1:31" s="721" customFormat="1" ht="29.25" customHeight="1" thickBot="1">
      <c r="A432" s="720"/>
      <c r="C432" s="722"/>
      <c r="D432" s="723"/>
      <c r="E432" s="724" t="s">
        <v>121</v>
      </c>
      <c r="F432" s="725"/>
      <c r="G432" s="726"/>
      <c r="H432" s="725"/>
      <c r="I432" s="725"/>
      <c r="J432" s="725"/>
      <c r="K432" s="726"/>
      <c r="L432" s="727"/>
      <c r="M432" s="725"/>
      <c r="N432" s="727"/>
      <c r="O432" s="725"/>
      <c r="P432" s="725"/>
      <c r="Q432" s="725"/>
      <c r="R432" s="726"/>
      <c r="S432" s="726"/>
      <c r="T432" s="725"/>
      <c r="U432" s="830"/>
      <c r="V432" s="726"/>
      <c r="W432" s="728"/>
      <c r="X432" s="728">
        <f>X430/U417</f>
        <v>0</v>
      </c>
      <c r="Y432" s="729"/>
      <c r="Z432" s="728"/>
      <c r="AA432" s="728">
        <f>AA430/U417</f>
        <v>0</v>
      </c>
      <c r="AB432" s="729"/>
      <c r="AC432" s="729"/>
      <c r="AD432" s="729"/>
      <c r="AE432" s="730"/>
    </row>
    <row r="433" spans="1:32" s="561" customFormat="1" ht="24" customHeight="1">
      <c r="A433" s="731"/>
      <c r="B433" s="732"/>
      <c r="C433" s="733"/>
      <c r="D433" s="734"/>
      <c r="E433" s="226">
        <v>20</v>
      </c>
      <c r="F433" s="975" t="s">
        <v>582</v>
      </c>
      <c r="G433" s="1080" t="s">
        <v>125</v>
      </c>
      <c r="H433" s="1080"/>
      <c r="I433" s="1080"/>
      <c r="J433" s="977" t="s">
        <v>524</v>
      </c>
      <c r="K433" s="831"/>
      <c r="L433" s="227">
        <v>113</v>
      </c>
      <c r="M433" s="1079" t="s">
        <v>595</v>
      </c>
      <c r="N433" s="1079"/>
      <c r="O433" s="1079"/>
      <c r="P433" s="1079"/>
      <c r="Q433" s="1079"/>
      <c r="R433" s="747"/>
      <c r="S433" s="1104" t="s">
        <v>524</v>
      </c>
      <c r="T433" s="1104"/>
      <c r="U433" s="1104"/>
      <c r="V433" s="833"/>
      <c r="W433" s="829">
        <v>227</v>
      </c>
      <c r="X433" s="1107" t="s">
        <v>533</v>
      </c>
      <c r="Y433" s="1107"/>
      <c r="Z433" s="1107"/>
      <c r="AA433" s="1105" t="s">
        <v>524</v>
      </c>
      <c r="AB433" s="1105"/>
      <c r="AC433" s="740"/>
      <c r="AD433" s="738"/>
      <c r="AE433" s="734"/>
      <c r="AF433" s="734"/>
    </row>
    <row r="434" spans="1:32" s="561" customFormat="1" ht="12.75" customHeight="1">
      <c r="A434" s="731"/>
      <c r="B434" s="732"/>
      <c r="C434" s="733"/>
      <c r="D434" s="734"/>
      <c r="E434" s="739">
        <v>43</v>
      </c>
      <c r="F434" s="976" t="s">
        <v>583</v>
      </c>
      <c r="G434" s="1080" t="s">
        <v>125</v>
      </c>
      <c r="H434" s="1080"/>
      <c r="I434" s="1080"/>
      <c r="J434" s="978" t="s">
        <v>524</v>
      </c>
      <c r="K434" s="832"/>
      <c r="L434" s="736">
        <v>174</v>
      </c>
      <c r="M434" s="1076" t="s">
        <v>127</v>
      </c>
      <c r="N434" s="1076"/>
      <c r="O434" s="1076"/>
      <c r="P434" s="1076"/>
      <c r="Q434" s="1076"/>
      <c r="R434" s="737"/>
      <c r="S434" s="1019" t="s">
        <v>524</v>
      </c>
      <c r="T434" s="1019"/>
      <c r="U434" s="1019"/>
      <c r="V434" s="834"/>
      <c r="W434" s="828">
        <v>240</v>
      </c>
      <c r="X434" s="1108" t="s">
        <v>525</v>
      </c>
      <c r="Y434" s="1108"/>
      <c r="Z434" s="1108"/>
      <c r="AA434" s="1106" t="s">
        <v>524</v>
      </c>
      <c r="AB434" s="1106"/>
      <c r="AC434" s="740"/>
      <c r="AD434" s="741"/>
      <c r="AE434" s="734"/>
      <c r="AF434" s="734"/>
    </row>
    <row r="435" spans="1:32" s="561" customFormat="1" ht="12.75" customHeight="1">
      <c r="A435" s="731"/>
      <c r="B435" s="732"/>
      <c r="C435" s="733"/>
      <c r="D435" s="734"/>
      <c r="E435" s="739">
        <v>66</v>
      </c>
      <c r="F435" s="976" t="s">
        <v>584</v>
      </c>
      <c r="G435" s="1080" t="s">
        <v>125</v>
      </c>
      <c r="H435" s="1080"/>
      <c r="I435" s="1080"/>
      <c r="J435" s="978" t="s">
        <v>524</v>
      </c>
      <c r="K435" s="832"/>
      <c r="L435" s="736">
        <v>203</v>
      </c>
      <c r="M435" s="1076" t="s">
        <v>126</v>
      </c>
      <c r="N435" s="1076"/>
      <c r="O435" s="1076"/>
      <c r="P435" s="1076"/>
      <c r="Q435" s="1076"/>
      <c r="R435" s="737"/>
      <c r="S435" s="1019" t="s">
        <v>524</v>
      </c>
      <c r="T435" s="1019"/>
      <c r="U435" s="1019"/>
      <c r="V435" s="834"/>
      <c r="W435" s="828">
        <v>252</v>
      </c>
      <c r="X435" s="1108" t="s">
        <v>534</v>
      </c>
      <c r="Y435" s="1108"/>
      <c r="Z435" s="1108"/>
      <c r="AA435" s="1106" t="s">
        <v>524</v>
      </c>
      <c r="AB435" s="1106"/>
      <c r="AC435" s="740"/>
      <c r="AD435" s="741"/>
      <c r="AE435" s="734"/>
      <c r="AF435" s="734"/>
    </row>
    <row r="436" spans="1:32" s="561" customFormat="1" ht="12.75" customHeight="1">
      <c r="A436" s="731"/>
      <c r="B436" s="732"/>
      <c r="C436" s="733"/>
      <c r="D436" s="734"/>
      <c r="E436" s="739">
        <v>89</v>
      </c>
      <c r="F436" s="976" t="s">
        <v>585</v>
      </c>
      <c r="G436" s="1080" t="s">
        <v>125</v>
      </c>
      <c r="H436" s="1080"/>
      <c r="I436" s="1080"/>
      <c r="J436" s="978" t="s">
        <v>524</v>
      </c>
      <c r="K436" s="832"/>
      <c r="L436" s="826">
        <v>217</v>
      </c>
      <c r="M436" s="1077" t="s">
        <v>596</v>
      </c>
      <c r="N436" s="1077"/>
      <c r="O436" s="1077"/>
      <c r="P436" s="1077"/>
      <c r="Q436" s="1077"/>
      <c r="R436" s="827"/>
      <c r="S436" s="1103" t="s">
        <v>524</v>
      </c>
      <c r="T436" s="1103"/>
      <c r="U436" s="1103"/>
      <c r="V436" s="834"/>
      <c r="W436" s="828"/>
      <c r="X436" s="1108"/>
      <c r="Y436" s="1108"/>
      <c r="Z436" s="1108"/>
      <c r="AA436" s="1102"/>
      <c r="AB436" s="1102"/>
      <c r="AC436" s="742"/>
      <c r="AD436" s="741"/>
      <c r="AE436" s="734"/>
      <c r="AF436" s="734"/>
    </row>
    <row r="437" spans="1:32" s="561" customFormat="1" ht="12.75" customHeight="1">
      <c r="A437" s="731"/>
      <c r="B437" s="732"/>
      <c r="C437" s="733"/>
      <c r="D437" s="734"/>
      <c r="E437" s="739">
        <v>89</v>
      </c>
      <c r="F437" s="976" t="s">
        <v>723</v>
      </c>
      <c r="G437" s="1080" t="s">
        <v>125</v>
      </c>
      <c r="H437" s="1080"/>
      <c r="I437" s="1080"/>
      <c r="J437" s="979" t="s">
        <v>524</v>
      </c>
      <c r="K437" s="737"/>
      <c r="L437" s="974" t="s">
        <v>721</v>
      </c>
      <c r="M437" s="1008" t="s">
        <v>722</v>
      </c>
      <c r="N437" s="1008"/>
      <c r="O437" s="1008"/>
      <c r="P437" s="1008"/>
      <c r="Q437" s="1008"/>
      <c r="R437" s="737"/>
      <c r="S437" s="1111" t="s">
        <v>524</v>
      </c>
      <c r="T437" s="1111"/>
      <c r="U437" s="1112"/>
      <c r="V437" s="834"/>
      <c r="W437" s="828"/>
      <c r="X437" s="1108"/>
      <c r="Y437" s="1108"/>
      <c r="Z437" s="1108"/>
      <c r="AA437" s="1109"/>
      <c r="AB437" s="1109"/>
      <c r="AC437" s="742"/>
      <c r="AD437" s="741"/>
      <c r="AE437" s="734"/>
      <c r="AF437" s="734"/>
    </row>
    <row r="438" spans="2:32" ht="12.75" customHeight="1">
      <c r="B438" s="229"/>
      <c r="C438" s="743"/>
      <c r="D438" s="744"/>
      <c r="E438" s="745"/>
      <c r="F438" s="746"/>
      <c r="G438" s="747"/>
      <c r="H438" s="747"/>
      <c r="I438" s="747"/>
      <c r="J438" s="735"/>
      <c r="K438" s="747"/>
      <c r="L438" s="747"/>
      <c r="M438" s="747"/>
      <c r="N438" s="1126" t="s">
        <v>580</v>
      </c>
      <c r="O438" s="1126"/>
      <c r="P438" s="1126"/>
      <c r="Q438" s="747"/>
      <c r="R438" s="747"/>
      <c r="S438" s="1102"/>
      <c r="T438" s="1102"/>
      <c r="U438" s="1102"/>
      <c r="V438" s="324"/>
      <c r="W438" s="828"/>
      <c r="X438" s="1108"/>
      <c r="Y438" s="1108"/>
      <c r="Z438" s="1108"/>
      <c r="AA438" s="1109"/>
      <c r="AB438" s="1109"/>
      <c r="AC438" s="742"/>
      <c r="AD438" s="748"/>
      <c r="AE438" s="744"/>
      <c r="AF438" s="744"/>
    </row>
    <row r="439" spans="1:32" s="761" customFormat="1" ht="18" customHeight="1" thickBot="1">
      <c r="A439" s="749"/>
      <c r="B439" s="750"/>
      <c r="C439" s="751"/>
      <c r="D439" s="752"/>
      <c r="E439" s="753"/>
      <c r="F439" s="754"/>
      <c r="G439" s="755"/>
      <c r="H439" s="755"/>
      <c r="I439" s="755"/>
      <c r="J439" s="756"/>
      <c r="K439" s="755"/>
      <c r="L439" s="757"/>
      <c r="M439" s="757"/>
      <c r="N439" s="1145" t="s">
        <v>724</v>
      </c>
      <c r="O439" s="1144"/>
      <c r="P439" s="1144"/>
      <c r="Q439" s="755"/>
      <c r="R439" s="755"/>
      <c r="S439" s="1110"/>
      <c r="T439" s="1110"/>
      <c r="U439" s="1110"/>
      <c r="V439" s="758"/>
      <c r="W439" s="1113"/>
      <c r="X439" s="1113"/>
      <c r="Y439" s="1110"/>
      <c r="Z439" s="1110"/>
      <c r="AA439" s="755"/>
      <c r="AB439" s="755"/>
      <c r="AC439" s="759"/>
      <c r="AD439" s="760"/>
      <c r="AE439" s="752"/>
      <c r="AF439" s="752"/>
    </row>
    <row r="440" spans="3:32" s="251" customFormat="1" ht="3" customHeight="1">
      <c r="C440" s="762"/>
      <c r="D440" s="763"/>
      <c r="E440" s="764"/>
      <c r="F440" s="764"/>
      <c r="G440" s="765"/>
      <c r="H440" s="766"/>
      <c r="I440" s="764"/>
      <c r="J440" s="764"/>
      <c r="K440" s="764"/>
      <c r="L440" s="767"/>
      <c r="M440" s="764"/>
      <c r="N440" s="764"/>
      <c r="O440" s="764"/>
      <c r="P440" s="766"/>
      <c r="Q440" s="764"/>
      <c r="R440" s="768"/>
      <c r="S440" s="764"/>
      <c r="T440" s="764"/>
      <c r="U440" s="764"/>
      <c r="V440" s="764"/>
      <c r="W440" s="767"/>
      <c r="X440" s="769"/>
      <c r="Y440" s="764"/>
      <c r="Z440" s="766"/>
      <c r="AA440" s="764"/>
      <c r="AB440" s="764"/>
      <c r="AC440" s="770"/>
      <c r="AD440" s="771"/>
      <c r="AE440" s="772"/>
      <c r="AF440" s="587"/>
    </row>
    <row r="441" ht="24.75" customHeight="1">
      <c r="C441" s="773" t="s">
        <v>392</v>
      </c>
    </row>
    <row r="442" spans="1:31" s="537" customFormat="1" ht="19.5" customHeight="1">
      <c r="A442" s="774"/>
      <c r="C442" s="525" t="s">
        <v>217</v>
      </c>
      <c r="D442" s="1072" t="s">
        <v>140</v>
      </c>
      <c r="E442" s="1072"/>
      <c r="F442" s="1072"/>
      <c r="G442" s="1072"/>
      <c r="H442" s="1072"/>
      <c r="I442" s="1072"/>
      <c r="J442" s="1072"/>
      <c r="K442" s="1072"/>
      <c r="L442" s="1072"/>
      <c r="M442" s="1072"/>
      <c r="N442" s="1072"/>
      <c r="O442" s="1072"/>
      <c r="P442" s="1072"/>
      <c r="R442" s="670"/>
      <c r="S442" s="526" t="s">
        <v>406</v>
      </c>
      <c r="T442" s="525"/>
      <c r="U442" s="1072"/>
      <c r="V442" s="1072"/>
      <c r="W442" s="1072"/>
      <c r="X442" s="1072"/>
      <c r="Y442" s="1072"/>
      <c r="Z442" s="1072"/>
      <c r="AA442" s="1072"/>
      <c r="AB442" s="1072"/>
      <c r="AC442" s="1072"/>
      <c r="AD442" s="1072"/>
      <c r="AE442" s="1072"/>
    </row>
    <row r="443" spans="1:31" s="537" customFormat="1" ht="19.5" customHeight="1">
      <c r="A443" s="774"/>
      <c r="C443" s="525" t="s">
        <v>218</v>
      </c>
      <c r="D443" s="1072" t="s">
        <v>140</v>
      </c>
      <c r="E443" s="1072"/>
      <c r="F443" s="1072"/>
      <c r="G443" s="1072"/>
      <c r="H443" s="1072"/>
      <c r="I443" s="1072"/>
      <c r="J443" s="1072"/>
      <c r="K443" s="1072"/>
      <c r="L443" s="1072"/>
      <c r="M443" s="1072"/>
      <c r="N443" s="1072"/>
      <c r="O443" s="1072"/>
      <c r="P443" s="1072"/>
      <c r="R443" s="670"/>
      <c r="S443" s="526" t="s">
        <v>408</v>
      </c>
      <c r="T443" s="525"/>
      <c r="U443" s="1065"/>
      <c r="V443" s="1065"/>
      <c r="W443" s="1065"/>
      <c r="X443" s="1065"/>
      <c r="Y443" s="1065"/>
      <c r="Z443" s="1065"/>
      <c r="AA443" s="1065"/>
      <c r="AB443" s="1065"/>
      <c r="AC443" s="1065"/>
      <c r="AD443" s="1065"/>
      <c r="AE443" s="1065"/>
    </row>
    <row r="444" spans="1:31" s="537" customFormat="1" ht="19.5" customHeight="1">
      <c r="A444" s="774"/>
      <c r="C444" s="525" t="s">
        <v>310</v>
      </c>
      <c r="D444" s="1072" t="s">
        <v>140</v>
      </c>
      <c r="E444" s="1072"/>
      <c r="F444" s="1072"/>
      <c r="G444" s="1072"/>
      <c r="H444" s="1072"/>
      <c r="I444" s="1072"/>
      <c r="J444" s="1072"/>
      <c r="K444" s="1072"/>
      <c r="L444" s="1072"/>
      <c r="M444" s="1072"/>
      <c r="N444" s="1072"/>
      <c r="O444" s="1072"/>
      <c r="P444" s="1072"/>
      <c r="R444" s="670"/>
      <c r="S444" s="526" t="s">
        <v>409</v>
      </c>
      <c r="T444" s="525"/>
      <c r="U444" s="1065"/>
      <c r="V444" s="1065"/>
      <c r="W444" s="1065"/>
      <c r="X444" s="1065"/>
      <c r="Y444" s="1065"/>
      <c r="Z444" s="1065"/>
      <c r="AA444" s="1065"/>
      <c r="AB444" s="1065"/>
      <c r="AC444" s="1065"/>
      <c r="AD444" s="1065"/>
      <c r="AE444" s="1065"/>
    </row>
    <row r="445" spans="1:31" s="537" customFormat="1" ht="19.5" customHeight="1">
      <c r="A445" s="774"/>
      <c r="C445" s="525" t="s">
        <v>311</v>
      </c>
      <c r="D445" s="1065"/>
      <c r="E445" s="1065"/>
      <c r="F445" s="1065"/>
      <c r="G445" s="1065"/>
      <c r="H445" s="1065"/>
      <c r="I445" s="1065"/>
      <c r="J445" s="1065"/>
      <c r="K445" s="1065"/>
      <c r="L445" s="1065"/>
      <c r="M445" s="1065"/>
      <c r="N445" s="1065"/>
      <c r="O445" s="1065"/>
      <c r="P445" s="1065"/>
      <c r="R445" s="670"/>
      <c r="S445" s="526" t="s">
        <v>410</v>
      </c>
      <c r="T445" s="525"/>
      <c r="U445" s="1065"/>
      <c r="V445" s="1065"/>
      <c r="W445" s="1065"/>
      <c r="X445" s="1065"/>
      <c r="Y445" s="1065"/>
      <c r="Z445" s="1065"/>
      <c r="AA445" s="1065"/>
      <c r="AB445" s="1065"/>
      <c r="AC445" s="1065"/>
      <c r="AD445" s="1065"/>
      <c r="AE445" s="1065"/>
    </row>
    <row r="446" spans="1:31" s="537" customFormat="1" ht="19.5" customHeight="1">
      <c r="A446" s="774"/>
      <c r="C446" s="525" t="s">
        <v>312</v>
      </c>
      <c r="D446" s="1065"/>
      <c r="E446" s="1065"/>
      <c r="F446" s="1065"/>
      <c r="G446" s="1065"/>
      <c r="H446" s="1065"/>
      <c r="I446" s="1065"/>
      <c r="J446" s="1065"/>
      <c r="K446" s="1065"/>
      <c r="L446" s="1065"/>
      <c r="M446" s="1065"/>
      <c r="N446" s="1065"/>
      <c r="O446" s="1065"/>
      <c r="P446" s="1065"/>
      <c r="R446" s="670"/>
      <c r="S446" s="526" t="s">
        <v>411</v>
      </c>
      <c r="T446" s="525"/>
      <c r="U446" s="1065"/>
      <c r="V446" s="1065"/>
      <c r="W446" s="1065"/>
      <c r="X446" s="1065"/>
      <c r="Y446" s="1065"/>
      <c r="Z446" s="1065"/>
      <c r="AA446" s="1065"/>
      <c r="AB446" s="1065"/>
      <c r="AC446" s="1065"/>
      <c r="AD446" s="1065"/>
      <c r="AE446" s="1065"/>
    </row>
    <row r="447" spans="1:31" s="537" customFormat="1" ht="19.5" customHeight="1">
      <c r="A447" s="774"/>
      <c r="C447" s="525" t="s">
        <v>314</v>
      </c>
      <c r="D447" s="1065"/>
      <c r="E447" s="1065"/>
      <c r="F447" s="1065"/>
      <c r="G447" s="1065"/>
      <c r="H447" s="1065"/>
      <c r="I447" s="1065"/>
      <c r="J447" s="1065"/>
      <c r="K447" s="1065"/>
      <c r="L447" s="1065"/>
      <c r="M447" s="1065"/>
      <c r="N447" s="1065"/>
      <c r="O447" s="1065"/>
      <c r="P447" s="1065"/>
      <c r="R447" s="670"/>
      <c r="S447" s="526" t="s">
        <v>421</v>
      </c>
      <c r="T447" s="525"/>
      <c r="U447" s="1065"/>
      <c r="V447" s="1065"/>
      <c r="W447" s="1065"/>
      <c r="X447" s="1065"/>
      <c r="Y447" s="1065"/>
      <c r="Z447" s="1065"/>
      <c r="AA447" s="1065"/>
      <c r="AB447" s="1065"/>
      <c r="AC447" s="1065"/>
      <c r="AD447" s="1065"/>
      <c r="AE447" s="1065"/>
    </row>
    <row r="448" spans="1:31" s="537" customFormat="1" ht="19.5" customHeight="1">
      <c r="A448" s="774"/>
      <c r="C448" s="525" t="s">
        <v>316</v>
      </c>
      <c r="D448" s="1065"/>
      <c r="E448" s="1065"/>
      <c r="F448" s="1065"/>
      <c r="G448" s="1065"/>
      <c r="H448" s="1065"/>
      <c r="I448" s="1065"/>
      <c r="J448" s="1065"/>
      <c r="K448" s="1065"/>
      <c r="L448" s="1065"/>
      <c r="M448" s="1065"/>
      <c r="N448" s="1065"/>
      <c r="O448" s="1065"/>
      <c r="P448" s="1065"/>
      <c r="R448" s="670"/>
      <c r="S448" s="526" t="s">
        <v>207</v>
      </c>
      <c r="T448" s="525"/>
      <c r="U448" s="1065"/>
      <c r="V448" s="1065"/>
      <c r="W448" s="1065"/>
      <c r="X448" s="1065"/>
      <c r="Y448" s="1065"/>
      <c r="Z448" s="1065"/>
      <c r="AA448" s="1065"/>
      <c r="AB448" s="1065"/>
      <c r="AC448" s="1065"/>
      <c r="AD448" s="1065"/>
      <c r="AE448" s="1065"/>
    </row>
    <row r="449" spans="1:31" s="537" customFormat="1" ht="19.5" customHeight="1">
      <c r="A449" s="774"/>
      <c r="C449" s="525" t="s">
        <v>327</v>
      </c>
      <c r="D449" s="1065"/>
      <c r="E449" s="1065"/>
      <c r="F449" s="1065"/>
      <c r="G449" s="1065"/>
      <c r="H449" s="1065"/>
      <c r="I449" s="1065"/>
      <c r="J449" s="1065"/>
      <c r="K449" s="1065"/>
      <c r="L449" s="1065"/>
      <c r="M449" s="1065"/>
      <c r="N449" s="1065"/>
      <c r="O449" s="1065"/>
      <c r="P449" s="1065"/>
      <c r="R449" s="670"/>
      <c r="S449" s="526" t="s">
        <v>332</v>
      </c>
      <c r="T449" s="525"/>
      <c r="U449" s="1065"/>
      <c r="V449" s="1065"/>
      <c r="W449" s="1065"/>
      <c r="X449" s="1065"/>
      <c r="Y449" s="1065"/>
      <c r="Z449" s="1065"/>
      <c r="AA449" s="1065"/>
      <c r="AB449" s="1065"/>
      <c r="AC449" s="1065"/>
      <c r="AD449" s="1065"/>
      <c r="AE449" s="1065"/>
    </row>
    <row r="450" spans="1:31" s="537" customFormat="1" ht="19.5" customHeight="1">
      <c r="A450" s="774"/>
      <c r="C450" s="525" t="s">
        <v>329</v>
      </c>
      <c r="D450" s="1065"/>
      <c r="E450" s="1065"/>
      <c r="F450" s="1065"/>
      <c r="G450" s="1065"/>
      <c r="H450" s="1065"/>
      <c r="I450" s="1065"/>
      <c r="J450" s="1065"/>
      <c r="K450" s="1065"/>
      <c r="L450" s="1065"/>
      <c r="M450" s="1065"/>
      <c r="N450" s="1065"/>
      <c r="O450" s="1065"/>
      <c r="P450" s="1065"/>
      <c r="R450" s="670"/>
      <c r="S450" s="526" t="s">
        <v>333</v>
      </c>
      <c r="T450" s="525"/>
      <c r="U450" s="1065"/>
      <c r="V450" s="1065"/>
      <c r="W450" s="1065"/>
      <c r="X450" s="1065"/>
      <c r="Y450" s="1065"/>
      <c r="Z450" s="1065"/>
      <c r="AA450" s="1065"/>
      <c r="AB450" s="1065"/>
      <c r="AC450" s="1065"/>
      <c r="AD450" s="1065"/>
      <c r="AE450" s="1065"/>
    </row>
    <row r="451" spans="1:31" s="537" customFormat="1" ht="19.5" customHeight="1">
      <c r="A451" s="774"/>
      <c r="C451" s="525" t="s">
        <v>346</v>
      </c>
      <c r="D451" s="1081"/>
      <c r="E451" s="1081"/>
      <c r="F451" s="1081"/>
      <c r="G451" s="1081"/>
      <c r="H451" s="1081"/>
      <c r="I451" s="1081"/>
      <c r="J451" s="1081"/>
      <c r="K451" s="1081"/>
      <c r="L451" s="1081"/>
      <c r="M451" s="1081"/>
      <c r="N451" s="1081"/>
      <c r="O451" s="1081"/>
      <c r="P451" s="1081"/>
      <c r="R451" s="670"/>
      <c r="S451" s="526" t="s">
        <v>334</v>
      </c>
      <c r="T451" s="525"/>
      <c r="U451" s="1081"/>
      <c r="V451" s="1081"/>
      <c r="W451" s="1081"/>
      <c r="X451" s="1081"/>
      <c r="Y451" s="1081"/>
      <c r="Z451" s="1081"/>
      <c r="AA451" s="1081"/>
      <c r="AB451" s="1081"/>
      <c r="AC451" s="1081"/>
      <c r="AD451" s="1081"/>
      <c r="AE451" s="1081"/>
    </row>
    <row r="452" spans="1:31" s="537" customFormat="1" ht="19.5" customHeight="1">
      <c r="A452" s="774"/>
      <c r="G452" s="385"/>
      <c r="K452" s="670"/>
      <c r="L452" s="669"/>
      <c r="N452" s="669"/>
      <c r="R452" s="670"/>
      <c r="S452" s="385"/>
      <c r="U452" s="775"/>
      <c r="V452" s="385"/>
      <c r="W452" s="776"/>
      <c r="X452" s="776"/>
      <c r="Y452" s="385"/>
      <c r="Z452" s="776"/>
      <c r="AA452" s="669"/>
      <c r="AB452" s="385"/>
      <c r="AE452" s="669"/>
    </row>
    <row r="453" spans="3:31" ht="21" customHeight="1">
      <c r="C453" s="290"/>
      <c r="D453" s="540"/>
      <c r="E453" s="540"/>
      <c r="F453" s="540"/>
      <c r="G453" s="541"/>
      <c r="H453" s="540"/>
      <c r="I453" s="540"/>
      <c r="J453" s="540"/>
      <c r="K453" s="542"/>
      <c r="L453" s="543"/>
      <c r="M453" s="540"/>
      <c r="N453" s="543"/>
      <c r="O453" s="540"/>
      <c r="P453" s="693"/>
      <c r="Q453" s="540"/>
      <c r="R453" s="694"/>
      <c r="S453" s="541"/>
      <c r="T453" s="540"/>
      <c r="U453" s="544"/>
      <c r="V453" s="541"/>
      <c r="W453" s="545"/>
      <c r="X453" s="545"/>
      <c r="Y453" s="541"/>
      <c r="Z453" s="545"/>
      <c r="AA453" s="543"/>
      <c r="AB453" s="541"/>
      <c r="AE453" s="543"/>
    </row>
    <row r="454" spans="1:21" s="779" customFormat="1" ht="46.5" customHeight="1">
      <c r="A454" s="1143" t="s">
        <v>569</v>
      </c>
      <c r="B454" s="1143"/>
      <c r="C454" s="1143"/>
      <c r="D454" s="1143"/>
      <c r="E454" s="778" t="s">
        <v>570</v>
      </c>
      <c r="N454" s="780" t="s">
        <v>529</v>
      </c>
      <c r="S454" s="1114" t="s">
        <v>524</v>
      </c>
      <c r="T454" s="1114"/>
      <c r="U454" s="1114"/>
    </row>
    <row r="455" spans="3:32" ht="16.5" customHeight="1">
      <c r="C455" s="781"/>
      <c r="D455" s="327"/>
      <c r="E455" s="1091" t="s">
        <v>490</v>
      </c>
      <c r="F455" s="327" t="s">
        <v>489</v>
      </c>
      <c r="G455" s="328"/>
      <c r="H455" s="327"/>
      <c r="I455" s="327"/>
      <c r="J455" s="327"/>
      <c r="K455" s="332"/>
      <c r="L455" s="333"/>
      <c r="M455" s="327"/>
      <c r="N455" s="333"/>
      <c r="O455" s="327"/>
      <c r="P455" s="684"/>
      <c r="Q455" s="327"/>
      <c r="R455" s="685"/>
      <c r="S455" s="328"/>
      <c r="T455" s="327"/>
      <c r="U455" s="335"/>
      <c r="V455" s="328"/>
      <c r="W455" s="336"/>
      <c r="X455" s="336"/>
      <c r="Y455" s="328"/>
      <c r="Z455" s="336"/>
      <c r="AA455" s="333"/>
      <c r="AB455" s="328"/>
      <c r="AC455" s="327"/>
      <c r="AD455" s="327"/>
      <c r="AE455" s="333"/>
      <c r="AF455" s="327"/>
    </row>
    <row r="456" spans="3:32" ht="16.5" customHeight="1">
      <c r="C456" s="777"/>
      <c r="D456" s="288"/>
      <c r="E456" s="1092"/>
      <c r="F456" s="320" t="s">
        <v>458</v>
      </c>
      <c r="G456" s="338"/>
      <c r="H456" s="288"/>
      <c r="I456" s="288"/>
      <c r="J456" s="288"/>
      <c r="K456" s="342"/>
      <c r="L456" s="322"/>
      <c r="M456" s="288"/>
      <c r="N456" s="322"/>
      <c r="O456" s="288"/>
      <c r="P456" s="680"/>
      <c r="Q456" s="288"/>
      <c r="R456" s="681"/>
      <c r="S456" s="338"/>
      <c r="T456" s="288"/>
      <c r="U456" s="343"/>
      <c r="V456" s="338"/>
      <c r="W456" s="344"/>
      <c r="X456" s="344"/>
      <c r="Y456" s="338"/>
      <c r="Z456" s="344"/>
      <c r="AA456" s="322"/>
      <c r="AB456" s="338"/>
      <c r="AC456" s="288"/>
      <c r="AD456" s="288"/>
      <c r="AE456" s="322"/>
      <c r="AF456" s="288"/>
    </row>
    <row r="457" spans="3:32" ht="12.75" customHeight="1">
      <c r="C457" s="777"/>
      <c r="D457" s="288"/>
      <c r="E457" s="288"/>
      <c r="F457" s="288"/>
      <c r="G457" s="338"/>
      <c r="H457" s="288"/>
      <c r="I457" s="288"/>
      <c r="J457" s="288"/>
      <c r="K457" s="342"/>
      <c r="L457" s="322"/>
      <c r="M457" s="288"/>
      <c r="N457" s="322"/>
      <c r="O457" s="288"/>
      <c r="P457" s="680"/>
      <c r="Q457" s="288"/>
      <c r="R457" s="681"/>
      <c r="S457" s="338"/>
      <c r="T457" s="288"/>
      <c r="U457" s="343"/>
      <c r="V457" s="338"/>
      <c r="W457" s="344"/>
      <c r="X457" s="344"/>
      <c r="Y457" s="338"/>
      <c r="Z457" s="344"/>
      <c r="AA457" s="322"/>
      <c r="AB457" s="338"/>
      <c r="AC457" s="288"/>
      <c r="AD457" s="288"/>
      <c r="AE457" s="322"/>
      <c r="AF457" s="288"/>
    </row>
    <row r="458" spans="3:32" ht="12.75" customHeight="1">
      <c r="C458" s="777"/>
      <c r="D458" s="288"/>
      <c r="E458" s="288"/>
      <c r="F458" s="288"/>
      <c r="G458" s="338"/>
      <c r="H458" s="288"/>
      <c r="I458" s="288"/>
      <c r="J458" s="288"/>
      <c r="K458" s="342"/>
      <c r="L458" s="322"/>
      <c r="M458" s="288"/>
      <c r="N458" s="322"/>
      <c r="O458" s="288"/>
      <c r="P458" s="680"/>
      <c r="Q458" s="288"/>
      <c r="R458" s="681"/>
      <c r="S458" s="338"/>
      <c r="T458" s="288"/>
      <c r="U458" s="343"/>
      <c r="V458" s="338"/>
      <c r="W458" s="344"/>
      <c r="X458" s="344"/>
      <c r="Y458" s="338"/>
      <c r="Z458" s="344"/>
      <c r="AA458" s="322"/>
      <c r="AB458" s="338"/>
      <c r="AC458" s="288"/>
      <c r="AD458" s="288"/>
      <c r="AE458" s="322"/>
      <c r="AF458" s="288"/>
    </row>
    <row r="459" spans="3:32" ht="12.75" customHeight="1">
      <c r="C459" s="777"/>
      <c r="D459" s="288"/>
      <c r="E459" s="288"/>
      <c r="F459" s="288"/>
      <c r="G459" s="338"/>
      <c r="H459" s="288"/>
      <c r="I459" s="288"/>
      <c r="J459" s="288"/>
      <c r="K459" s="342"/>
      <c r="L459" s="322"/>
      <c r="M459" s="288"/>
      <c r="N459" s="322"/>
      <c r="O459" s="288"/>
      <c r="P459" s="680"/>
      <c r="Q459" s="288"/>
      <c r="R459" s="681"/>
      <c r="S459" s="338"/>
      <c r="T459" s="288"/>
      <c r="U459" s="343"/>
      <c r="V459" s="338"/>
      <c r="W459" s="344"/>
      <c r="X459" s="344"/>
      <c r="Y459" s="338"/>
      <c r="Z459" s="344"/>
      <c r="AA459" s="322"/>
      <c r="AB459" s="338"/>
      <c r="AC459" s="288"/>
      <c r="AD459" s="288"/>
      <c r="AE459" s="322"/>
      <c r="AF459" s="288"/>
    </row>
    <row r="460" spans="3:32" ht="16.5" customHeight="1" thickBot="1">
      <c r="C460" s="782"/>
      <c r="D460" s="581" t="s">
        <v>488</v>
      </c>
      <c r="E460" s="581"/>
      <c r="F460" s="783"/>
      <c r="G460" s="510"/>
      <c r="H460" s="581"/>
      <c r="I460" s="581"/>
      <c r="J460" s="581"/>
      <c r="K460" s="784"/>
      <c r="L460" s="512"/>
      <c r="M460" s="581"/>
      <c r="N460" s="512"/>
      <c r="O460" s="581"/>
      <c r="P460" s="785"/>
      <c r="Q460" s="581"/>
      <c r="R460" s="786"/>
      <c r="S460" s="510"/>
      <c r="T460" s="581"/>
      <c r="U460" s="509"/>
      <c r="V460" s="510"/>
      <c r="W460" s="511"/>
      <c r="X460" s="511"/>
      <c r="Y460" s="510"/>
      <c r="Z460" s="511"/>
      <c r="AA460" s="512"/>
      <c r="AB460" s="510"/>
      <c r="AC460" s="581"/>
      <c r="AD460" s="581"/>
      <c r="AE460" s="512"/>
      <c r="AF460" s="581"/>
    </row>
    <row r="461" spans="2:32" ht="12.75" customHeight="1">
      <c r="B461" s="239"/>
      <c r="C461" s="787"/>
      <c r="D461" s="788"/>
      <c r="E461" s="788"/>
      <c r="F461" s="788"/>
      <c r="G461" s="789"/>
      <c r="H461" s="788"/>
      <c r="I461" s="788"/>
      <c r="J461" s="788"/>
      <c r="K461" s="790"/>
      <c r="L461" s="791"/>
      <c r="M461" s="788"/>
      <c r="N461" s="791"/>
      <c r="O461" s="788"/>
      <c r="P461" s="792"/>
      <c r="Q461" s="788"/>
      <c r="R461" s="793"/>
      <c r="S461" s="789"/>
      <c r="T461" s="788"/>
      <c r="U461" s="794"/>
      <c r="V461" s="789"/>
      <c r="W461" s="795"/>
      <c r="X461" s="795"/>
      <c r="Y461" s="789"/>
      <c r="Z461" s="795"/>
      <c r="AA461" s="791"/>
      <c r="AB461" s="789"/>
      <c r="AC461" s="788"/>
      <c r="AD461" s="788"/>
      <c r="AE461" s="791"/>
      <c r="AF461" s="788"/>
    </row>
    <row r="462" spans="4:32" ht="42.75" customHeight="1" thickBot="1">
      <c r="D462" s="796"/>
      <c r="E462" s="796"/>
      <c r="F462" s="796"/>
      <c r="G462" s="797"/>
      <c r="H462" s="796"/>
      <c r="I462" s="796"/>
      <c r="J462" s="798" t="s">
        <v>572</v>
      </c>
      <c r="K462" s="799"/>
      <c r="L462" s="251"/>
      <c r="M462" s="796"/>
      <c r="N462" s="800"/>
      <c r="O462" s="796"/>
      <c r="P462" s="258"/>
      <c r="Q462" s="796"/>
      <c r="R462" s="799"/>
      <c r="S462" s="797"/>
      <c r="T462" s="796"/>
      <c r="U462" s="801"/>
      <c r="V462" s="797"/>
      <c r="W462" s="802"/>
      <c r="X462" s="802"/>
      <c r="Y462" s="797"/>
      <c r="Z462" s="802"/>
      <c r="AA462" s="800"/>
      <c r="AB462" s="255"/>
      <c r="AC462" s="796"/>
      <c r="AD462" s="796"/>
      <c r="AE462" s="800"/>
      <c r="AF462" s="773"/>
    </row>
    <row r="463" spans="1:32" s="561" customFormat="1" ht="16.5" customHeight="1">
      <c r="A463" s="1082" t="s">
        <v>457</v>
      </c>
      <c r="B463" s="1083"/>
      <c r="C463" s="1084"/>
      <c r="D463" s="803" t="s">
        <v>573</v>
      </c>
      <c r="E463" s="803"/>
      <c r="F463" s="803"/>
      <c r="G463" s="804"/>
      <c r="H463" s="803"/>
      <c r="I463" s="805"/>
      <c r="J463" s="805"/>
      <c r="K463" s="806"/>
      <c r="L463" s="807"/>
      <c r="M463" s="805"/>
      <c r="N463" s="807"/>
      <c r="O463" s="805"/>
      <c r="P463" s="808"/>
      <c r="Q463" s="805"/>
      <c r="R463" s="806"/>
      <c r="S463" s="809"/>
      <c r="T463" s="805"/>
      <c r="U463" s="810"/>
      <c r="V463" s="809"/>
      <c r="W463" s="811"/>
      <c r="X463" s="811"/>
      <c r="Y463" s="809"/>
      <c r="Z463" s="811"/>
      <c r="AA463" s="807"/>
      <c r="AB463" s="812"/>
      <c r="AC463" s="805"/>
      <c r="AD463" s="805"/>
      <c r="AE463" s="807"/>
      <c r="AF463" s="813"/>
    </row>
    <row r="464" spans="1:32" s="561" customFormat="1" ht="16.5" customHeight="1">
      <c r="A464" s="1085"/>
      <c r="B464" s="1086"/>
      <c r="C464" s="1087"/>
      <c r="D464" s="803" t="s">
        <v>147</v>
      </c>
      <c r="E464" s="803"/>
      <c r="F464" s="803"/>
      <c r="G464" s="804"/>
      <c r="H464" s="803"/>
      <c r="I464" s="805"/>
      <c r="J464" s="805"/>
      <c r="K464" s="806"/>
      <c r="L464" s="807"/>
      <c r="M464" s="805"/>
      <c r="N464" s="807"/>
      <c r="O464" s="805"/>
      <c r="P464" s="808"/>
      <c r="Q464" s="805"/>
      <c r="R464" s="806"/>
      <c r="S464" s="809"/>
      <c r="T464" s="805"/>
      <c r="U464" s="810"/>
      <c r="V464" s="809"/>
      <c r="W464" s="811"/>
      <c r="X464" s="811"/>
      <c r="Y464" s="809"/>
      <c r="Z464" s="811"/>
      <c r="AA464" s="807"/>
      <c r="AB464" s="812"/>
      <c r="AC464" s="805"/>
      <c r="AD464" s="805"/>
      <c r="AE464" s="807"/>
      <c r="AF464" s="813"/>
    </row>
    <row r="465" spans="1:32" s="561" customFormat="1" ht="16.5" customHeight="1">
      <c r="A465" s="1085"/>
      <c r="B465" s="1086"/>
      <c r="C465" s="1087"/>
      <c r="E465" s="803" t="s">
        <v>148</v>
      </c>
      <c r="F465" s="803"/>
      <c r="G465" s="804"/>
      <c r="H465" s="803"/>
      <c r="I465" s="805"/>
      <c r="J465" s="805"/>
      <c r="K465" s="806"/>
      <c r="L465" s="807"/>
      <c r="M465" s="805"/>
      <c r="N465" s="807"/>
      <c r="O465" s="805"/>
      <c r="P465" s="808"/>
      <c r="Q465" s="805"/>
      <c r="R465" s="806"/>
      <c r="S465" s="809"/>
      <c r="T465" s="805"/>
      <c r="U465" s="810"/>
      <c r="V465" s="809"/>
      <c r="W465" s="811"/>
      <c r="X465" s="811"/>
      <c r="Y465" s="809"/>
      <c r="Z465" s="811"/>
      <c r="AA465" s="807"/>
      <c r="AB465" s="812"/>
      <c r="AC465" s="805"/>
      <c r="AD465" s="805"/>
      <c r="AE465" s="807"/>
      <c r="AF465" s="813"/>
    </row>
    <row r="466" spans="1:32" s="561" customFormat="1" ht="16.5" customHeight="1">
      <c r="A466" s="1085"/>
      <c r="B466" s="1086"/>
      <c r="C466" s="1087"/>
      <c r="E466" s="803" t="s">
        <v>424</v>
      </c>
      <c r="F466" s="803"/>
      <c r="G466" s="804"/>
      <c r="H466" s="803"/>
      <c r="I466" s="805"/>
      <c r="J466" s="805"/>
      <c r="K466" s="806"/>
      <c r="L466" s="807"/>
      <c r="M466" s="805"/>
      <c r="N466" s="807"/>
      <c r="O466" s="805"/>
      <c r="P466" s="808"/>
      <c r="Q466" s="805"/>
      <c r="R466" s="806"/>
      <c r="S466" s="809"/>
      <c r="T466" s="805"/>
      <c r="U466" s="810"/>
      <c r="V466" s="809"/>
      <c r="W466" s="811"/>
      <c r="X466" s="811"/>
      <c r="Y466" s="809"/>
      <c r="Z466" s="811"/>
      <c r="AA466" s="807"/>
      <c r="AB466" s="812"/>
      <c r="AC466" s="805"/>
      <c r="AD466" s="805"/>
      <c r="AE466" s="807"/>
      <c r="AF466" s="813"/>
    </row>
    <row r="467" spans="1:32" s="561" customFormat="1" ht="16.5" customHeight="1">
      <c r="A467" s="1085"/>
      <c r="B467" s="1086"/>
      <c r="C467" s="1087"/>
      <c r="D467" s="803" t="s">
        <v>578</v>
      </c>
      <c r="E467" s="803"/>
      <c r="F467" s="803"/>
      <c r="G467" s="804"/>
      <c r="H467" s="803"/>
      <c r="I467" s="805"/>
      <c r="J467" s="805"/>
      <c r="K467" s="806"/>
      <c r="L467" s="807"/>
      <c r="M467" s="805"/>
      <c r="N467" s="807"/>
      <c r="O467" s="805"/>
      <c r="P467" s="808"/>
      <c r="Q467" s="805"/>
      <c r="R467" s="806"/>
      <c r="S467" s="809"/>
      <c r="T467" s="805"/>
      <c r="U467" s="810"/>
      <c r="V467" s="809"/>
      <c r="W467" s="811"/>
      <c r="X467" s="811"/>
      <c r="Y467" s="809"/>
      <c r="Z467" s="811"/>
      <c r="AA467" s="807"/>
      <c r="AB467" s="812"/>
      <c r="AC467" s="805"/>
      <c r="AD467" s="805"/>
      <c r="AE467" s="807"/>
      <c r="AF467" s="813"/>
    </row>
    <row r="468" spans="1:32" s="561" customFormat="1" ht="16.5" customHeight="1">
      <c r="A468" s="1085"/>
      <c r="B468" s="1086"/>
      <c r="C468" s="1087"/>
      <c r="D468" s="803" t="s">
        <v>575</v>
      </c>
      <c r="E468" s="803"/>
      <c r="F468" s="803"/>
      <c r="G468" s="804"/>
      <c r="H468" s="803"/>
      <c r="I468" s="805"/>
      <c r="J468" s="805"/>
      <c r="K468" s="806"/>
      <c r="L468" s="807"/>
      <c r="M468" s="805"/>
      <c r="N468" s="807"/>
      <c r="O468" s="805"/>
      <c r="P468" s="808"/>
      <c r="Q468" s="805"/>
      <c r="R468" s="806"/>
      <c r="S468" s="809"/>
      <c r="T468" s="805"/>
      <c r="U468" s="810"/>
      <c r="V468" s="809"/>
      <c r="W468" s="811"/>
      <c r="X468" s="811"/>
      <c r="Y468" s="809"/>
      <c r="Z468" s="811"/>
      <c r="AA468" s="807"/>
      <c r="AB468" s="812"/>
      <c r="AC468" s="805"/>
      <c r="AD468" s="805"/>
      <c r="AE468" s="807"/>
      <c r="AF468" s="813"/>
    </row>
    <row r="469" spans="1:32" s="561" customFormat="1" ht="9" customHeight="1">
      <c r="A469" s="1085"/>
      <c r="B469" s="1086"/>
      <c r="C469" s="1087"/>
      <c r="D469" s="803"/>
      <c r="E469" s="803"/>
      <c r="F469" s="803"/>
      <c r="G469" s="804"/>
      <c r="H469" s="803"/>
      <c r="I469" s="805"/>
      <c r="J469" s="805"/>
      <c r="K469" s="806"/>
      <c r="L469" s="807"/>
      <c r="M469" s="805"/>
      <c r="N469" s="807"/>
      <c r="O469" s="805"/>
      <c r="P469" s="808"/>
      <c r="Q469" s="805"/>
      <c r="R469" s="806"/>
      <c r="S469" s="809"/>
      <c r="T469" s="805"/>
      <c r="U469" s="810"/>
      <c r="V469" s="809"/>
      <c r="W469" s="811"/>
      <c r="X469" s="811"/>
      <c r="Y469" s="809"/>
      <c r="Z469" s="811"/>
      <c r="AA469" s="807"/>
      <c r="AB469" s="812"/>
      <c r="AC469" s="805"/>
      <c r="AD469" s="805"/>
      <c r="AE469" s="807"/>
      <c r="AF469" s="813"/>
    </row>
    <row r="470" spans="1:32" s="561" customFormat="1" ht="16.5" customHeight="1">
      <c r="A470" s="1085"/>
      <c r="B470" s="1086"/>
      <c r="C470" s="1087"/>
      <c r="D470" s="803" t="s">
        <v>576</v>
      </c>
      <c r="E470" s="803"/>
      <c r="F470" s="803"/>
      <c r="G470" s="804"/>
      <c r="H470" s="803"/>
      <c r="I470" s="805"/>
      <c r="J470" s="805"/>
      <c r="K470" s="806"/>
      <c r="L470" s="807"/>
      <c r="M470" s="805"/>
      <c r="N470" s="807"/>
      <c r="O470" s="805"/>
      <c r="P470" s="808"/>
      <c r="Q470" s="805"/>
      <c r="R470" s="806"/>
      <c r="S470" s="809"/>
      <c r="T470" s="805"/>
      <c r="U470" s="810"/>
      <c r="V470" s="809"/>
      <c r="W470" s="811"/>
      <c r="X470" s="811"/>
      <c r="Y470" s="809"/>
      <c r="Z470" s="811"/>
      <c r="AA470" s="807"/>
      <c r="AB470" s="812"/>
      <c r="AC470" s="805"/>
      <c r="AD470" s="805"/>
      <c r="AE470" s="807"/>
      <c r="AF470" s="813"/>
    </row>
    <row r="471" spans="1:32" s="561" customFormat="1" ht="16.5" customHeight="1">
      <c r="A471" s="1085"/>
      <c r="B471" s="1086"/>
      <c r="C471" s="1087"/>
      <c r="D471" s="803" t="s">
        <v>577</v>
      </c>
      <c r="E471" s="803"/>
      <c r="F471" s="803"/>
      <c r="G471" s="804"/>
      <c r="H471" s="803"/>
      <c r="I471" s="805"/>
      <c r="J471" s="805"/>
      <c r="K471" s="806"/>
      <c r="L471" s="807"/>
      <c r="M471" s="805"/>
      <c r="N471" s="807"/>
      <c r="O471" s="805"/>
      <c r="P471" s="808"/>
      <c r="Q471" s="805"/>
      <c r="R471" s="806"/>
      <c r="S471" s="809"/>
      <c r="T471" s="805"/>
      <c r="U471" s="810"/>
      <c r="V471" s="809"/>
      <c r="W471" s="811"/>
      <c r="X471" s="811"/>
      <c r="Y471" s="809"/>
      <c r="Z471" s="811"/>
      <c r="AA471" s="807"/>
      <c r="AB471" s="812"/>
      <c r="AC471" s="805"/>
      <c r="AD471" s="805"/>
      <c r="AE471" s="807"/>
      <c r="AF471" s="813"/>
    </row>
    <row r="472" spans="1:32" s="561" customFormat="1" ht="16.5" customHeight="1">
      <c r="A472" s="1085"/>
      <c r="B472" s="1086"/>
      <c r="C472" s="1087"/>
      <c r="E472" s="803" t="s">
        <v>173</v>
      </c>
      <c r="F472" s="803"/>
      <c r="G472" s="804"/>
      <c r="H472" s="803"/>
      <c r="I472" s="805"/>
      <c r="J472" s="805"/>
      <c r="K472" s="806"/>
      <c r="L472" s="807"/>
      <c r="M472" s="805"/>
      <c r="N472" s="807"/>
      <c r="O472" s="805"/>
      <c r="P472" s="808"/>
      <c r="Q472" s="805"/>
      <c r="R472" s="806"/>
      <c r="S472" s="809"/>
      <c r="T472" s="805"/>
      <c r="U472" s="810"/>
      <c r="V472" s="809"/>
      <c r="W472" s="811"/>
      <c r="X472" s="811"/>
      <c r="Y472" s="809"/>
      <c r="Z472" s="811"/>
      <c r="AA472" s="807"/>
      <c r="AB472" s="812"/>
      <c r="AC472" s="805"/>
      <c r="AD472" s="805"/>
      <c r="AE472" s="807"/>
      <c r="AF472" s="813"/>
    </row>
    <row r="473" spans="1:32" s="561" customFormat="1" ht="6.75" customHeight="1">
      <c r="A473" s="1085"/>
      <c r="B473" s="1086"/>
      <c r="C473" s="1087"/>
      <c r="D473" s="803"/>
      <c r="E473" s="803"/>
      <c r="F473" s="803"/>
      <c r="G473" s="804"/>
      <c r="H473" s="803"/>
      <c r="I473" s="805"/>
      <c r="J473" s="805"/>
      <c r="K473" s="806"/>
      <c r="L473" s="807"/>
      <c r="M473" s="805"/>
      <c r="N473" s="807"/>
      <c r="O473" s="805"/>
      <c r="P473" s="808"/>
      <c r="Q473" s="805"/>
      <c r="R473" s="806"/>
      <c r="S473" s="809"/>
      <c r="T473" s="805"/>
      <c r="U473" s="810"/>
      <c r="V473" s="809"/>
      <c r="W473" s="811"/>
      <c r="X473" s="811"/>
      <c r="Y473" s="809"/>
      <c r="Z473" s="811"/>
      <c r="AA473" s="807"/>
      <c r="AB473" s="812"/>
      <c r="AC473" s="805"/>
      <c r="AD473" s="805"/>
      <c r="AE473" s="807"/>
      <c r="AF473" s="813"/>
    </row>
    <row r="474" spans="1:31" ht="12.75" customHeight="1">
      <c r="A474" s="1085"/>
      <c r="B474" s="1086"/>
      <c r="C474" s="1087"/>
      <c r="D474" s="814"/>
      <c r="E474" s="814" t="s">
        <v>425</v>
      </c>
      <c r="F474" s="251"/>
      <c r="G474" s="255"/>
      <c r="H474" s="251"/>
      <c r="I474" s="251"/>
      <c r="J474" s="251"/>
      <c r="K474" s="256"/>
      <c r="L474" s="257"/>
      <c r="M474" s="251"/>
      <c r="N474" s="257"/>
      <c r="O474" s="251"/>
      <c r="P474" s="258"/>
      <c r="Q474" s="251"/>
      <c r="R474" s="259"/>
      <c r="S474" s="255"/>
      <c r="T474" s="251"/>
      <c r="U474" s="260"/>
      <c r="V474" s="255"/>
      <c r="W474" s="261"/>
      <c r="X474" s="261"/>
      <c r="Y474" s="255"/>
      <c r="Z474" s="261"/>
      <c r="AA474" s="257"/>
      <c r="AB474" s="255"/>
      <c r="AC474" s="251"/>
      <c r="AD474" s="251"/>
      <c r="AE474" s="257"/>
    </row>
    <row r="475" spans="1:31" ht="12.75" customHeight="1" thickBot="1">
      <c r="A475" s="1088"/>
      <c r="B475" s="1089"/>
      <c r="C475" s="1090"/>
      <c r="E475" s="814" t="s">
        <v>574</v>
      </c>
      <c r="F475" s="251"/>
      <c r="G475" s="255"/>
      <c r="H475" s="251"/>
      <c r="I475" s="251"/>
      <c r="J475" s="251"/>
      <c r="K475" s="256"/>
      <c r="L475" s="257"/>
      <c r="M475" s="251"/>
      <c r="N475" s="257"/>
      <c r="O475" s="251"/>
      <c r="P475" s="258"/>
      <c r="Q475" s="251"/>
      <c r="R475" s="259"/>
      <c r="S475" s="255"/>
      <c r="T475" s="251"/>
      <c r="U475" s="260"/>
      <c r="V475" s="255"/>
      <c r="W475" s="261"/>
      <c r="X475" s="261"/>
      <c r="Y475" s="255"/>
      <c r="Z475" s="261"/>
      <c r="AA475" s="257"/>
      <c r="AB475" s="255"/>
      <c r="AC475" s="251"/>
      <c r="AD475" s="251"/>
      <c r="AE475" s="257"/>
    </row>
    <row r="476" spans="4:31" ht="7.5" customHeight="1">
      <c r="D476" s="251"/>
      <c r="E476" s="251"/>
      <c r="F476" s="251"/>
      <c r="G476" s="255"/>
      <c r="H476" s="251"/>
      <c r="I476" s="251"/>
      <c r="J476" s="251"/>
      <c r="K476" s="256"/>
      <c r="L476" s="257"/>
      <c r="M476" s="251"/>
      <c r="N476" s="257"/>
      <c r="O476" s="251"/>
      <c r="P476" s="258"/>
      <c r="Q476" s="251"/>
      <c r="R476" s="259"/>
      <c r="S476" s="255"/>
      <c r="T476" s="251"/>
      <c r="U476" s="260"/>
      <c r="V476" s="255"/>
      <c r="W476" s="261"/>
      <c r="X476" s="261"/>
      <c r="Y476" s="255"/>
      <c r="Z476" s="261"/>
      <c r="AA476" s="257"/>
      <c r="AB476" s="255"/>
      <c r="AC476" s="251"/>
      <c r="AD476" s="251"/>
      <c r="AE476" s="257"/>
    </row>
    <row r="477" spans="3:31" s="540" customFormat="1" ht="12.75" customHeight="1">
      <c r="C477" s="554"/>
      <c r="G477" s="541"/>
      <c r="K477" s="542"/>
      <c r="L477" s="542"/>
      <c r="N477" s="543"/>
      <c r="P477" s="693"/>
      <c r="R477" s="694"/>
      <c r="S477" s="541"/>
      <c r="U477" s="544"/>
      <c r="V477" s="541"/>
      <c r="W477" s="545"/>
      <c r="X477" s="545"/>
      <c r="Y477" s="541"/>
      <c r="Z477" s="545"/>
      <c r="AA477" s="543"/>
      <c r="AB477" s="541"/>
      <c r="AE477" s="543"/>
    </row>
    <row r="478" spans="1:32" s="251" customFormat="1" ht="12.75" customHeight="1">
      <c r="A478" s="239"/>
      <c r="B478" s="239"/>
      <c r="C478" s="290"/>
      <c r="D478" s="239"/>
      <c r="E478" s="239"/>
      <c r="F478" s="239"/>
      <c r="G478" s="263"/>
      <c r="H478" s="239"/>
      <c r="I478" s="239"/>
      <c r="J478" s="239"/>
      <c r="K478" s="553"/>
      <c r="L478" s="553"/>
      <c r="M478" s="239"/>
      <c r="N478" s="262"/>
      <c r="O478" s="239"/>
      <c r="P478" s="671"/>
      <c r="Q478" s="239"/>
      <c r="R478" s="672"/>
      <c r="S478" s="263"/>
      <c r="T478" s="239"/>
      <c r="U478" s="504"/>
      <c r="V478" s="263"/>
      <c r="W478" s="301"/>
      <c r="X478" s="301"/>
      <c r="Y478" s="263"/>
      <c r="Z478" s="301"/>
      <c r="AA478" s="262"/>
      <c r="AB478" s="263"/>
      <c r="AC478" s="239"/>
      <c r="AD478" s="239"/>
      <c r="AE478" s="262"/>
      <c r="AF478" s="239"/>
    </row>
    <row r="479" spans="1:32" s="251" customFormat="1" ht="12.75" customHeight="1">
      <c r="A479" s="239"/>
      <c r="B479" s="239"/>
      <c r="C479" s="290"/>
      <c r="D479" s="239"/>
      <c r="E479" s="239"/>
      <c r="F479" s="239"/>
      <c r="G479" s="263"/>
      <c r="H479" s="239"/>
      <c r="I479" s="239"/>
      <c r="J479" s="239"/>
      <c r="K479" s="553"/>
      <c r="L479" s="553"/>
      <c r="M479" s="239"/>
      <c r="N479" s="262"/>
      <c r="O479" s="239"/>
      <c r="P479" s="671"/>
      <c r="Q479" s="239"/>
      <c r="R479" s="672"/>
      <c r="S479" s="263"/>
      <c r="T479" s="239"/>
      <c r="U479" s="504"/>
      <c r="V479" s="263"/>
      <c r="W479" s="301"/>
      <c r="X479" s="301"/>
      <c r="Y479" s="263"/>
      <c r="Z479" s="301"/>
      <c r="AA479" s="262"/>
      <c r="AB479" s="263"/>
      <c r="AC479" s="239"/>
      <c r="AD479" s="239"/>
      <c r="AE479" s="262"/>
      <c r="AF479" s="239"/>
    </row>
    <row r="480" spans="1:32" s="251" customFormat="1" ht="12.75" customHeight="1">
      <c r="A480" s="239"/>
      <c r="B480" s="239"/>
      <c r="C480" s="290"/>
      <c r="D480" s="239"/>
      <c r="E480" s="239"/>
      <c r="F480" s="239"/>
      <c r="G480" s="263"/>
      <c r="H480" s="239"/>
      <c r="I480" s="239"/>
      <c r="J480" s="239"/>
      <c r="K480" s="553"/>
      <c r="L480" s="553"/>
      <c r="M480" s="239"/>
      <c r="N480" s="262"/>
      <c r="O480" s="239"/>
      <c r="P480" s="671"/>
      <c r="Q480" s="239"/>
      <c r="R480" s="672"/>
      <c r="S480" s="263"/>
      <c r="T480" s="239"/>
      <c r="U480" s="504"/>
      <c r="V480" s="263"/>
      <c r="W480" s="301"/>
      <c r="X480" s="301"/>
      <c r="Y480" s="263"/>
      <c r="Z480" s="301"/>
      <c r="AA480" s="262"/>
      <c r="AB480" s="263"/>
      <c r="AC480" s="239"/>
      <c r="AD480" s="239"/>
      <c r="AE480" s="262"/>
      <c r="AF480" s="239"/>
    </row>
    <row r="481" spans="1:32" s="818" customFormat="1" ht="12.75" customHeight="1">
      <c r="A481" s="815"/>
      <c r="B481" s="815"/>
      <c r="C481" s="861"/>
      <c r="D481" s="862"/>
      <c r="E481" s="863"/>
      <c r="F481" s="863"/>
      <c r="G481" s="864"/>
      <c r="H481" s="863"/>
      <c r="I481" s="863"/>
      <c r="J481" s="863"/>
      <c r="K481" s="865"/>
      <c r="L481" s="865"/>
      <c r="M481" s="863"/>
      <c r="N481" s="866" t="s">
        <v>528</v>
      </c>
      <c r="O481" s="863"/>
      <c r="P481" s="868"/>
      <c r="Q481" s="863"/>
      <c r="R481" s="869"/>
      <c r="S481" s="864"/>
      <c r="T481" s="863"/>
      <c r="U481" s="863"/>
      <c r="V481" s="864"/>
      <c r="W481" s="870"/>
      <c r="X481" s="870"/>
      <c r="Y481" s="864"/>
      <c r="Z481" s="870"/>
      <c r="AA481" s="863"/>
      <c r="AB481" s="864"/>
      <c r="AC481" s="816"/>
      <c r="AD481" s="816"/>
      <c r="AE481" s="816"/>
      <c r="AF481" s="817"/>
    </row>
    <row r="482" spans="1:32" s="251" customFormat="1" ht="12.75" customHeight="1">
      <c r="A482" s="239"/>
      <c r="B482" s="239"/>
      <c r="C482" s="588"/>
      <c r="D482" s="871">
        <v>0.8855</v>
      </c>
      <c r="E482" s="871"/>
      <c r="F482" s="871"/>
      <c r="G482" s="872"/>
      <c r="H482" s="871"/>
      <c r="I482" s="871"/>
      <c r="J482" s="871"/>
      <c r="K482" s="873"/>
      <c r="L482" s="873"/>
      <c r="M482" s="871"/>
      <c r="N482" s="874"/>
      <c r="O482" s="871"/>
      <c r="P482" s="875"/>
      <c r="Q482" s="871"/>
      <c r="R482" s="876"/>
      <c r="S482" s="872"/>
      <c r="T482" s="871"/>
      <c r="U482" s="877"/>
      <c r="V482" s="872"/>
      <c r="W482" s="878"/>
      <c r="X482" s="878"/>
      <c r="Y482" s="872"/>
      <c r="Z482" s="878"/>
      <c r="AA482" s="874"/>
      <c r="AB482" s="872"/>
      <c r="AC482" s="819"/>
      <c r="AD482" s="819"/>
      <c r="AE482" s="820"/>
      <c r="AF482" s="605"/>
    </row>
    <row r="483" spans="1:32" s="825" customFormat="1" ht="12.75" customHeight="1">
      <c r="A483" s="821"/>
      <c r="B483" s="821"/>
      <c r="C483" s="879" t="s">
        <v>273</v>
      </c>
      <c r="D483" s="928">
        <v>1.0235</v>
      </c>
      <c r="E483" s="928"/>
      <c r="F483" s="881" t="s">
        <v>509</v>
      </c>
      <c r="G483" s="882"/>
      <c r="H483" s="880" t="s">
        <v>0</v>
      </c>
      <c r="I483" s="880"/>
      <c r="J483" s="880"/>
      <c r="K483" s="883" t="s">
        <v>1</v>
      </c>
      <c r="L483" s="884"/>
      <c r="M483" s="880"/>
      <c r="N483" s="885" t="s">
        <v>511</v>
      </c>
      <c r="O483" s="880" t="s">
        <v>512</v>
      </c>
      <c r="P483" s="886"/>
      <c r="Q483" s="887" t="s">
        <v>509</v>
      </c>
      <c r="R483" s="888"/>
      <c r="S483" s="889"/>
      <c r="T483" s="880" t="s">
        <v>510</v>
      </c>
      <c r="U483" s="890"/>
      <c r="V483" s="889"/>
      <c r="W483" s="885" t="s">
        <v>2</v>
      </c>
      <c r="X483" s="891"/>
      <c r="Y483" s="889"/>
      <c r="Z483" s="891" t="s">
        <v>513</v>
      </c>
      <c r="AA483" s="891" t="s">
        <v>512</v>
      </c>
      <c r="AB483" s="889"/>
      <c r="AC483" s="822"/>
      <c r="AD483" s="822"/>
      <c r="AE483" s="823"/>
      <c r="AF483" s="824"/>
    </row>
    <row r="484" spans="1:32" s="251" customFormat="1" ht="12.75" customHeight="1">
      <c r="A484" s="239"/>
      <c r="B484" s="239"/>
      <c r="C484" s="892"/>
      <c r="D484" s="893" t="s">
        <v>3</v>
      </c>
      <c r="E484" s="894"/>
      <c r="F484" s="894">
        <f>affa*0</f>
        <v>0</v>
      </c>
      <c r="G484" s="895"/>
      <c r="H484" s="893" t="s">
        <v>4</v>
      </c>
      <c r="I484" s="894">
        <f>affa*3770*0</f>
        <v>0</v>
      </c>
      <c r="J484" s="894"/>
      <c r="K484" s="896" t="s">
        <v>5</v>
      </c>
      <c r="L484" s="897">
        <f>szor12*2810*0</f>
        <v>0</v>
      </c>
      <c r="M484" s="894"/>
      <c r="N484" s="929">
        <v>1778</v>
      </c>
      <c r="O484" s="898">
        <v>1341</v>
      </c>
      <c r="P484" s="899"/>
      <c r="Q484" s="893" t="s">
        <v>6</v>
      </c>
      <c r="R484" s="900">
        <f>affa*0</f>
        <v>0</v>
      </c>
      <c r="S484" s="895"/>
      <c r="T484" s="894" t="s">
        <v>7</v>
      </c>
      <c r="U484" s="901">
        <f>affa*4010*0</f>
        <v>0</v>
      </c>
      <c r="V484" s="895"/>
      <c r="W484" s="902" t="s">
        <v>6</v>
      </c>
      <c r="X484" s="902">
        <f>szor12*3010*0</f>
        <v>0</v>
      </c>
      <c r="Y484" s="895"/>
      <c r="Z484" s="930">
        <v>1921</v>
      </c>
      <c r="AA484" s="931">
        <v>1456</v>
      </c>
      <c r="AB484" s="903"/>
      <c r="AC484" s="819"/>
      <c r="AD484" s="819"/>
      <c r="AE484" s="820"/>
      <c r="AF484" s="605"/>
    </row>
    <row r="485" spans="1:32" s="251" customFormat="1" ht="12.75" customHeight="1">
      <c r="A485" s="239"/>
      <c r="B485" s="239"/>
      <c r="C485" s="904"/>
      <c r="D485" s="905" t="s">
        <v>8</v>
      </c>
      <c r="E485" s="932"/>
      <c r="F485" s="906">
        <f>affa*7940*0</f>
        <v>0</v>
      </c>
      <c r="G485" s="907"/>
      <c r="H485" s="905" t="s">
        <v>9</v>
      </c>
      <c r="I485" s="906">
        <f>affa*4960</f>
        <v>5076.56</v>
      </c>
      <c r="J485" s="906"/>
      <c r="K485" s="908" t="s">
        <v>10</v>
      </c>
      <c r="L485" s="909">
        <f>szor12*3850</f>
        <v>3409.1749999999997</v>
      </c>
      <c r="M485" s="906"/>
      <c r="N485" s="933">
        <v>3498</v>
      </c>
      <c r="O485" s="906">
        <v>1854</v>
      </c>
      <c r="P485" s="910"/>
      <c r="Q485" s="905" t="s">
        <v>11</v>
      </c>
      <c r="R485" s="911">
        <f>affa*8280*0</f>
        <v>0</v>
      </c>
      <c r="S485" s="907"/>
      <c r="T485" s="906" t="s">
        <v>12</v>
      </c>
      <c r="U485" s="912">
        <f>affa*5270*0</f>
        <v>0</v>
      </c>
      <c r="V485" s="907"/>
      <c r="W485" s="913" t="s">
        <v>11</v>
      </c>
      <c r="X485" s="913">
        <f>szor12*4130</f>
        <v>3657.115</v>
      </c>
      <c r="Y485" s="907"/>
      <c r="Z485" s="934">
        <v>3716</v>
      </c>
      <c r="AA485" s="935">
        <v>2010</v>
      </c>
      <c r="AB485" s="914"/>
      <c r="AC485" s="819"/>
      <c r="AD485" s="819"/>
      <c r="AE485" s="820"/>
      <c r="AF485" s="605"/>
    </row>
    <row r="486" spans="1:32" s="251" customFormat="1" ht="12.75" customHeight="1">
      <c r="A486" s="239"/>
      <c r="B486" s="239"/>
      <c r="C486" s="904"/>
      <c r="D486" s="905" t="s">
        <v>13</v>
      </c>
      <c r="E486" s="932"/>
      <c r="F486" s="906">
        <f>affa*9130</f>
        <v>9344.555</v>
      </c>
      <c r="G486" s="907"/>
      <c r="H486" s="905" t="s">
        <v>14</v>
      </c>
      <c r="I486" s="906">
        <f>affa*6150</f>
        <v>6294.525000000001</v>
      </c>
      <c r="J486" s="906"/>
      <c r="K486" s="908" t="s">
        <v>15</v>
      </c>
      <c r="L486" s="909">
        <f>szor12*4900</f>
        <v>4338.95</v>
      </c>
      <c r="M486" s="906"/>
      <c r="N486" s="933">
        <v>4144</v>
      </c>
      <c r="O486" s="906">
        <v>2372</v>
      </c>
      <c r="P486" s="910"/>
      <c r="Q486" s="905" t="s">
        <v>16</v>
      </c>
      <c r="R486" s="911">
        <f>affa*9560</f>
        <v>9784.66</v>
      </c>
      <c r="S486" s="907"/>
      <c r="T486" s="906" t="s">
        <v>17</v>
      </c>
      <c r="U486" s="912">
        <f>affa*6540</f>
        <v>6693.6900000000005</v>
      </c>
      <c r="V486" s="907"/>
      <c r="W486" s="913" t="s">
        <v>16</v>
      </c>
      <c r="X486" s="913">
        <f>szor12*5250</f>
        <v>4648.875</v>
      </c>
      <c r="Y486" s="907"/>
      <c r="Z486" s="934">
        <v>4410</v>
      </c>
      <c r="AA486" s="935">
        <v>2570</v>
      </c>
      <c r="AB486" s="914"/>
      <c r="AC486" s="819"/>
      <c r="AD486" s="819"/>
      <c r="AE486" s="820"/>
      <c r="AF486" s="605"/>
    </row>
    <row r="487" spans="1:32" s="251" customFormat="1" ht="12.75" customHeight="1">
      <c r="A487" s="239"/>
      <c r="B487" s="239"/>
      <c r="C487" s="904"/>
      <c r="D487" s="905" t="s">
        <v>18</v>
      </c>
      <c r="E487" s="932"/>
      <c r="F487" s="906">
        <f>affa*10920</f>
        <v>11176.62</v>
      </c>
      <c r="G487" s="907"/>
      <c r="H487" s="905" t="s">
        <v>19</v>
      </c>
      <c r="I487" s="906">
        <f>affa*7850</f>
        <v>8034.475</v>
      </c>
      <c r="J487" s="906"/>
      <c r="K487" s="908" t="s">
        <v>20</v>
      </c>
      <c r="L487" s="909">
        <f>szor12*5960</f>
        <v>5277.58</v>
      </c>
      <c r="M487" s="906"/>
      <c r="N487" s="933">
        <v>4797</v>
      </c>
      <c r="O487" s="906">
        <v>2893</v>
      </c>
      <c r="P487" s="910"/>
      <c r="Q487" s="905" t="s">
        <v>21</v>
      </c>
      <c r="R487" s="911">
        <f>affa*11420</f>
        <v>11688.37</v>
      </c>
      <c r="S487" s="907"/>
      <c r="T487" s="906" t="s">
        <v>22</v>
      </c>
      <c r="U487" s="912">
        <f>affa*8310</f>
        <v>8505.285</v>
      </c>
      <c r="V487" s="907"/>
      <c r="W487" s="913" t="s">
        <v>21</v>
      </c>
      <c r="X487" s="913">
        <f>szor12*6380</f>
        <v>5649.49</v>
      </c>
      <c r="Y487" s="907"/>
      <c r="Z487" s="934">
        <v>5110</v>
      </c>
      <c r="AA487" s="935">
        <v>3133</v>
      </c>
      <c r="AB487" s="914"/>
      <c r="AC487" s="819"/>
      <c r="AD487" s="819"/>
      <c r="AE487" s="820"/>
      <c r="AF487" s="605"/>
    </row>
    <row r="488" spans="1:32" s="251" customFormat="1" ht="12.75" customHeight="1">
      <c r="A488" s="239"/>
      <c r="B488" s="239"/>
      <c r="C488" s="904"/>
      <c r="D488" s="905" t="s">
        <v>23</v>
      </c>
      <c r="E488" s="932"/>
      <c r="F488" s="906">
        <f>affa*12120</f>
        <v>12404.820000000002</v>
      </c>
      <c r="G488" s="907"/>
      <c r="H488" s="905" t="s">
        <v>24</v>
      </c>
      <c r="I488" s="906">
        <f>affa*9050</f>
        <v>9262.675000000001</v>
      </c>
      <c r="J488" s="906"/>
      <c r="K488" s="908" t="s">
        <v>25</v>
      </c>
      <c r="L488" s="909">
        <f>szor12*7020</f>
        <v>6216.21</v>
      </c>
      <c r="M488" s="906"/>
      <c r="N488" s="933">
        <v>5450</v>
      </c>
      <c r="O488" s="906">
        <v>3418</v>
      </c>
      <c r="P488" s="910"/>
      <c r="Q488" s="905" t="s">
        <v>26</v>
      </c>
      <c r="R488" s="911">
        <f>affa*12700</f>
        <v>12998.45</v>
      </c>
      <c r="S488" s="907"/>
      <c r="T488" s="906" t="s">
        <v>27</v>
      </c>
      <c r="U488" s="912">
        <f>affa*9590</f>
        <v>9815.365000000002</v>
      </c>
      <c r="V488" s="907"/>
      <c r="W488" s="913" t="s">
        <v>26</v>
      </c>
      <c r="X488" s="913">
        <f>szor12*7520</f>
        <v>6658.96</v>
      </c>
      <c r="Y488" s="907"/>
      <c r="Z488" s="934">
        <v>5810</v>
      </c>
      <c r="AA488" s="935">
        <v>3699</v>
      </c>
      <c r="AB488" s="914"/>
      <c r="AC488" s="819"/>
      <c r="AD488" s="819"/>
      <c r="AE488" s="820"/>
      <c r="AF488" s="605"/>
    </row>
    <row r="489" spans="1:32" s="251" customFormat="1" ht="12.75" customHeight="1">
      <c r="A489" s="239"/>
      <c r="B489" s="239"/>
      <c r="C489" s="904"/>
      <c r="D489" s="905" t="s">
        <v>28</v>
      </c>
      <c r="E489" s="932"/>
      <c r="F489" s="906">
        <f>affa*13330</f>
        <v>13643.255000000001</v>
      </c>
      <c r="G489" s="907"/>
      <c r="H489" s="905" t="s">
        <v>29</v>
      </c>
      <c r="I489" s="906">
        <f>affa*10250</f>
        <v>10490.875</v>
      </c>
      <c r="J489" s="906"/>
      <c r="K489" s="908" t="s">
        <v>30</v>
      </c>
      <c r="L489" s="909">
        <f>szor12*8090</f>
        <v>7163.695</v>
      </c>
      <c r="M489" s="906"/>
      <c r="N489" s="933">
        <v>6107</v>
      </c>
      <c r="O489" s="906">
        <v>3947</v>
      </c>
      <c r="P489" s="910"/>
      <c r="Q489" s="905" t="s">
        <v>31</v>
      </c>
      <c r="R489" s="911">
        <f>affa*13980</f>
        <v>14308.53</v>
      </c>
      <c r="S489" s="907"/>
      <c r="T489" s="906" t="s">
        <v>32</v>
      </c>
      <c r="U489" s="912">
        <f>affa*10880</f>
        <v>11135.68</v>
      </c>
      <c r="V489" s="907"/>
      <c r="W489" s="913" t="s">
        <v>31</v>
      </c>
      <c r="X489" s="913">
        <f>szor12*8660</f>
        <v>7668.429999999999</v>
      </c>
      <c r="Y489" s="907"/>
      <c r="Z489" s="934">
        <v>6541</v>
      </c>
      <c r="AA489" s="935">
        <v>4269</v>
      </c>
      <c r="AB489" s="914"/>
      <c r="AC489" s="819"/>
      <c r="AD489" s="819"/>
      <c r="AE489" s="820"/>
      <c r="AF489" s="605"/>
    </row>
    <row r="490" spans="1:32" s="251" customFormat="1" ht="12.75" customHeight="1">
      <c r="A490" s="239"/>
      <c r="B490" s="239"/>
      <c r="C490" s="904"/>
      <c r="D490" s="905" t="s">
        <v>33</v>
      </c>
      <c r="E490" s="932"/>
      <c r="F490" s="906">
        <f>affa*14540</f>
        <v>14881.69</v>
      </c>
      <c r="G490" s="907"/>
      <c r="H490" s="905" t="s">
        <v>34</v>
      </c>
      <c r="I490" s="906">
        <f>affa*11070</f>
        <v>11330.145</v>
      </c>
      <c r="J490" s="906"/>
      <c r="K490" s="908" t="s">
        <v>35</v>
      </c>
      <c r="L490" s="909">
        <f>szor12*9170</f>
        <v>8120.035</v>
      </c>
      <c r="M490" s="906"/>
      <c r="N490" s="933">
        <v>6771</v>
      </c>
      <c r="O490" s="906">
        <v>4483</v>
      </c>
      <c r="P490" s="910"/>
      <c r="Q490" s="905" t="s">
        <v>36</v>
      </c>
      <c r="R490" s="911">
        <f>affa*15270</f>
        <v>15628.845000000001</v>
      </c>
      <c r="S490" s="907"/>
      <c r="T490" s="906" t="s">
        <v>37</v>
      </c>
      <c r="U490" s="912">
        <f>affa*12170</f>
        <v>12455.995</v>
      </c>
      <c r="V490" s="907"/>
      <c r="W490" s="913" t="s">
        <v>36</v>
      </c>
      <c r="X490" s="913">
        <f>szor12*9810</f>
        <v>8686.755</v>
      </c>
      <c r="Y490" s="907"/>
      <c r="Z490" s="934">
        <v>7225</v>
      </c>
      <c r="AA490" s="935">
        <v>4846</v>
      </c>
      <c r="AB490" s="914"/>
      <c r="AC490" s="819"/>
      <c r="AD490" s="819"/>
      <c r="AE490" s="820"/>
      <c r="AF490" s="605"/>
    </row>
    <row r="491" spans="1:32" s="251" customFormat="1" ht="12.75" customHeight="1">
      <c r="A491" s="239"/>
      <c r="B491" s="239"/>
      <c r="C491" s="904"/>
      <c r="D491" s="905" t="s">
        <v>38</v>
      </c>
      <c r="E491" s="932"/>
      <c r="F491" s="906">
        <f>affa*15760</f>
        <v>16130.36</v>
      </c>
      <c r="G491" s="907"/>
      <c r="H491" s="905" t="s">
        <v>39</v>
      </c>
      <c r="I491" s="906">
        <f>affa*12690</f>
        <v>12988.215</v>
      </c>
      <c r="J491" s="906"/>
      <c r="K491" s="908" t="s">
        <v>40</v>
      </c>
      <c r="L491" s="909">
        <f>szor12*10250</f>
        <v>9076.375</v>
      </c>
      <c r="M491" s="906"/>
      <c r="N491" s="933">
        <v>7437</v>
      </c>
      <c r="O491" s="906">
        <v>5020</v>
      </c>
      <c r="P491" s="910"/>
      <c r="Q491" s="905" t="s">
        <v>41</v>
      </c>
      <c r="R491" s="911">
        <f>affa*16570</f>
        <v>16959.395</v>
      </c>
      <c r="S491" s="907"/>
      <c r="T491" s="906" t="s">
        <v>42</v>
      </c>
      <c r="U491" s="912">
        <f>affa*13460</f>
        <v>13776.310000000001</v>
      </c>
      <c r="V491" s="907"/>
      <c r="W491" s="913" t="s">
        <v>41</v>
      </c>
      <c r="X491" s="913">
        <f>szor12*10970</f>
        <v>9713.935</v>
      </c>
      <c r="Y491" s="907"/>
      <c r="Z491" s="934">
        <v>7937</v>
      </c>
      <c r="AA491" s="935">
        <v>5425</v>
      </c>
      <c r="AB491" s="914"/>
      <c r="AC491" s="819"/>
      <c r="AD491" s="819"/>
      <c r="AE491" s="820"/>
      <c r="AF491" s="605"/>
    </row>
    <row r="492" spans="1:32" s="251" customFormat="1" ht="12.75" customHeight="1">
      <c r="A492" s="239"/>
      <c r="B492" s="239"/>
      <c r="C492" s="936"/>
      <c r="D492" s="937" t="s">
        <v>43</v>
      </c>
      <c r="E492" s="938"/>
      <c r="F492" s="939">
        <f>affa*16980</f>
        <v>17379.030000000002</v>
      </c>
      <c r="G492" s="940"/>
      <c r="H492" s="937" t="s">
        <v>44</v>
      </c>
      <c r="I492" s="939">
        <f>affa*13910</f>
        <v>14236.885</v>
      </c>
      <c r="J492" s="939"/>
      <c r="K492" s="941" t="s">
        <v>45</v>
      </c>
      <c r="L492" s="942">
        <f>szor12*11340</f>
        <v>10041.57</v>
      </c>
      <c r="M492" s="943"/>
      <c r="N492" s="933">
        <v>7661</v>
      </c>
      <c r="O492" s="944">
        <v>5560</v>
      </c>
      <c r="P492" s="945"/>
      <c r="Q492" s="937" t="s">
        <v>46</v>
      </c>
      <c r="R492" s="946">
        <f>affa*17870</f>
        <v>18289.945</v>
      </c>
      <c r="S492" s="940"/>
      <c r="T492" s="939" t="s">
        <v>47</v>
      </c>
      <c r="U492" s="947">
        <f>affa*14760</f>
        <v>15106.86</v>
      </c>
      <c r="V492" s="940"/>
      <c r="W492" s="948" t="s">
        <v>46</v>
      </c>
      <c r="X492" s="948">
        <f>szor12*12130</f>
        <v>10741.115</v>
      </c>
      <c r="Y492" s="949"/>
      <c r="Z492" s="934">
        <v>8653</v>
      </c>
      <c r="AA492" s="935">
        <v>6007</v>
      </c>
      <c r="AB492" s="914"/>
      <c r="AC492" s="819"/>
      <c r="AD492" s="819"/>
      <c r="AE492" s="820"/>
      <c r="AF492" s="605"/>
    </row>
    <row r="493" spans="1:32" s="825" customFormat="1" ht="12.75" customHeight="1">
      <c r="A493" s="821"/>
      <c r="B493" s="821"/>
      <c r="C493" s="915"/>
      <c r="D493" s="880"/>
      <c r="E493" s="880"/>
      <c r="F493" s="880"/>
      <c r="G493" s="889"/>
      <c r="H493" s="880" t="s">
        <v>48</v>
      </c>
      <c r="I493" s="880"/>
      <c r="J493" s="880"/>
      <c r="K493" s="883" t="s">
        <v>1</v>
      </c>
      <c r="L493" s="916"/>
      <c r="M493" s="880"/>
      <c r="N493" s="950" t="s">
        <v>511</v>
      </c>
      <c r="O493" s="880" t="s">
        <v>512</v>
      </c>
      <c r="P493" s="886"/>
      <c r="Q493" s="880"/>
      <c r="R493" s="888"/>
      <c r="S493" s="889"/>
      <c r="T493" s="880" t="s">
        <v>510</v>
      </c>
      <c r="U493" s="917"/>
      <c r="V493" s="889"/>
      <c r="W493" s="885" t="s">
        <v>2</v>
      </c>
      <c r="X493" s="891"/>
      <c r="Y493" s="889"/>
      <c r="Z493" s="951" t="s">
        <v>514</v>
      </c>
      <c r="AA493" s="952" t="s">
        <v>512</v>
      </c>
      <c r="AB493" s="918"/>
      <c r="AC493" s="822"/>
      <c r="AD493" s="822"/>
      <c r="AE493" s="823"/>
      <c r="AF493" s="824"/>
    </row>
    <row r="494" spans="1:32" s="251" customFormat="1" ht="12.75" customHeight="1">
      <c r="A494" s="239"/>
      <c r="B494" s="239"/>
      <c r="C494" s="904"/>
      <c r="D494" s="905" t="s">
        <v>49</v>
      </c>
      <c r="E494" s="906"/>
      <c r="F494" s="906">
        <f>affa*0</f>
        <v>0</v>
      </c>
      <c r="G494" s="907"/>
      <c r="H494" s="905" t="s">
        <v>50</v>
      </c>
      <c r="I494" s="906">
        <f>affa*4240*0</f>
        <v>0</v>
      </c>
      <c r="J494" s="906"/>
      <c r="K494" s="908" t="s">
        <v>50</v>
      </c>
      <c r="L494" s="909">
        <f>szor12*3210*0</f>
        <v>0</v>
      </c>
      <c r="M494" s="906"/>
      <c r="N494" s="933">
        <v>2064</v>
      </c>
      <c r="O494" s="906">
        <v>1571</v>
      </c>
      <c r="P494" s="910"/>
      <c r="Q494" s="906" t="s">
        <v>51</v>
      </c>
      <c r="R494" s="911">
        <f>affa*7610*0</f>
        <v>0</v>
      </c>
      <c r="S494" s="907"/>
      <c r="T494" s="906" t="s">
        <v>52</v>
      </c>
      <c r="U494" s="912">
        <f>affa*4520*0</f>
        <v>0</v>
      </c>
      <c r="V494" s="907"/>
      <c r="W494" s="913" t="s">
        <v>51</v>
      </c>
      <c r="X494" s="913">
        <f>szor12*3450*0</f>
        <v>0</v>
      </c>
      <c r="Y494" s="907"/>
      <c r="Z494" s="934">
        <v>2235</v>
      </c>
      <c r="AA494" s="935">
        <v>1709</v>
      </c>
      <c r="AB494" s="914"/>
      <c r="AC494" s="819"/>
      <c r="AD494" s="819"/>
      <c r="AE494" s="820"/>
      <c r="AF494" s="605"/>
    </row>
    <row r="495" spans="1:32" s="251" customFormat="1" ht="12.75" customHeight="1">
      <c r="A495" s="239"/>
      <c r="B495" s="239"/>
      <c r="C495" s="904"/>
      <c r="D495" s="905" t="s">
        <v>53</v>
      </c>
      <c r="E495" s="906"/>
      <c r="F495" s="906">
        <f>affa*8063</f>
        <v>8252.480500000001</v>
      </c>
      <c r="G495" s="907"/>
      <c r="H495" s="905" t="s">
        <v>54</v>
      </c>
      <c r="I495" s="906">
        <f>affa*5580</f>
        <v>5711.13</v>
      </c>
      <c r="J495" s="906"/>
      <c r="K495" s="908" t="s">
        <v>54</v>
      </c>
      <c r="L495" s="909">
        <f>szor12*4400</f>
        <v>3896.2</v>
      </c>
      <c r="M495" s="906"/>
      <c r="N495" s="933">
        <v>3935</v>
      </c>
      <c r="O495" s="906">
        <v>2167</v>
      </c>
      <c r="P495" s="910"/>
      <c r="Q495" s="906" t="s">
        <v>55</v>
      </c>
      <c r="R495" s="911">
        <f>affa*9050</f>
        <v>9262.675000000001</v>
      </c>
      <c r="S495" s="907"/>
      <c r="T495" s="906" t="s">
        <v>56</v>
      </c>
      <c r="U495" s="912">
        <f>affa*5960</f>
        <v>6100.06</v>
      </c>
      <c r="V495" s="907"/>
      <c r="W495" s="913" t="s">
        <v>55</v>
      </c>
      <c r="X495" s="913">
        <f>szor12*4730</f>
        <v>4188.415</v>
      </c>
      <c r="Y495" s="907"/>
      <c r="Z495" s="934">
        <v>4198</v>
      </c>
      <c r="AA495" s="935">
        <v>2355</v>
      </c>
      <c r="AB495" s="914"/>
      <c r="AC495" s="819"/>
      <c r="AD495" s="819"/>
      <c r="AE495" s="820"/>
      <c r="AF495" s="605"/>
    </row>
    <row r="496" spans="1:32" s="251" customFormat="1" ht="12.75" customHeight="1">
      <c r="A496" s="239"/>
      <c r="B496" s="239"/>
      <c r="C496" s="904"/>
      <c r="D496" s="905" t="s">
        <v>57</v>
      </c>
      <c r="E496" s="906"/>
      <c r="F496" s="906">
        <f>affa*9980</f>
        <v>10214.53</v>
      </c>
      <c r="G496" s="907"/>
      <c r="H496" s="905" t="s">
        <v>58</v>
      </c>
      <c r="I496" s="906">
        <f>affa*6930</f>
        <v>7092.8550000000005</v>
      </c>
      <c r="J496" s="906"/>
      <c r="K496" s="908" t="s">
        <v>58</v>
      </c>
      <c r="L496" s="909">
        <f>szor12*5600</f>
        <v>4958.8</v>
      </c>
      <c r="M496" s="906"/>
      <c r="N496" s="933">
        <v>4676</v>
      </c>
      <c r="O496" s="906">
        <v>2768</v>
      </c>
      <c r="P496" s="910"/>
      <c r="Q496" s="906" t="s">
        <v>59</v>
      </c>
      <c r="R496" s="911">
        <f>affa*10490</f>
        <v>10736.515000000001</v>
      </c>
      <c r="S496" s="907"/>
      <c r="T496" s="906" t="s">
        <v>60</v>
      </c>
      <c r="U496" s="912">
        <f>affa*7400</f>
        <v>7573.900000000001</v>
      </c>
      <c r="V496" s="907"/>
      <c r="W496" s="913" t="s">
        <v>59</v>
      </c>
      <c r="X496" s="913">
        <f>szor12*6020</f>
        <v>5330.71</v>
      </c>
      <c r="Y496" s="907"/>
      <c r="Z496" s="934">
        <v>4995</v>
      </c>
      <c r="AA496" s="935">
        <v>3006</v>
      </c>
      <c r="AB496" s="914"/>
      <c r="AC496" s="819"/>
      <c r="AD496" s="819"/>
      <c r="AE496" s="820"/>
      <c r="AF496" s="605"/>
    </row>
    <row r="497" spans="1:32" s="251" customFormat="1" ht="12.75" customHeight="1">
      <c r="A497" s="239"/>
      <c r="B497" s="239"/>
      <c r="C497" s="904"/>
      <c r="D497" s="905" t="s">
        <v>61</v>
      </c>
      <c r="E497" s="906"/>
      <c r="F497" s="906">
        <f>affa*11920</f>
        <v>12200.12</v>
      </c>
      <c r="G497" s="907"/>
      <c r="H497" s="905" t="s">
        <v>62</v>
      </c>
      <c r="I497" s="906">
        <f>affa*8780</f>
        <v>8986.33</v>
      </c>
      <c r="J497" s="906"/>
      <c r="K497" s="908" t="s">
        <v>62</v>
      </c>
      <c r="L497" s="909">
        <f>szor12*6800</f>
        <v>6021.4</v>
      </c>
      <c r="M497" s="906"/>
      <c r="N497" s="933">
        <v>5422</v>
      </c>
      <c r="O497" s="906">
        <v>3372</v>
      </c>
      <c r="P497" s="910"/>
      <c r="Q497" s="906" t="s">
        <v>63</v>
      </c>
      <c r="R497" s="911">
        <f>affa*12520</f>
        <v>12814.220000000001</v>
      </c>
      <c r="S497" s="907"/>
      <c r="T497" s="906" t="s">
        <v>64</v>
      </c>
      <c r="U497" s="912">
        <f>affa*9340</f>
        <v>9559.490000000002</v>
      </c>
      <c r="V497" s="907"/>
      <c r="W497" s="913" t="s">
        <v>63</v>
      </c>
      <c r="X497" s="913">
        <f>szor12*7310</f>
        <v>6473.005</v>
      </c>
      <c r="Y497" s="907"/>
      <c r="Z497" s="934">
        <v>5798</v>
      </c>
      <c r="AA497" s="935">
        <v>3659</v>
      </c>
      <c r="AB497" s="914"/>
      <c r="AC497" s="819"/>
      <c r="AD497" s="819"/>
      <c r="AE497" s="820"/>
      <c r="AF497" s="605"/>
    </row>
    <row r="498" spans="1:32" s="251" customFormat="1" ht="12.75" customHeight="1">
      <c r="A498" s="239"/>
      <c r="B498" s="239"/>
      <c r="C498" s="904"/>
      <c r="D498" s="905" t="s">
        <v>65</v>
      </c>
      <c r="E498" s="906"/>
      <c r="F498" s="906">
        <f>affa*13280</f>
        <v>13592.080000000002</v>
      </c>
      <c r="G498" s="907"/>
      <c r="H498" s="905" t="s">
        <v>66</v>
      </c>
      <c r="I498" s="906">
        <f>affa*10140</f>
        <v>10378.29</v>
      </c>
      <c r="J498" s="906"/>
      <c r="K498" s="908" t="s">
        <v>66</v>
      </c>
      <c r="L498" s="909">
        <f>szor12*8010</f>
        <v>7092.855</v>
      </c>
      <c r="M498" s="906"/>
      <c r="N498" s="933">
        <v>6170</v>
      </c>
      <c r="O498" s="906">
        <v>3980</v>
      </c>
      <c r="P498" s="910"/>
      <c r="Q498" s="906" t="s">
        <v>67</v>
      </c>
      <c r="R498" s="911">
        <f>affa*13970</f>
        <v>14298.295000000002</v>
      </c>
      <c r="S498" s="907"/>
      <c r="T498" s="906" t="s">
        <v>68</v>
      </c>
      <c r="U498" s="912">
        <f>affa*10790</f>
        <v>11043.565</v>
      </c>
      <c r="V498" s="907"/>
      <c r="W498" s="913" t="s">
        <v>67</v>
      </c>
      <c r="X498" s="913">
        <f>szor12*8610</f>
        <v>7624.155</v>
      </c>
      <c r="Y498" s="907"/>
      <c r="Z498" s="934">
        <v>6601</v>
      </c>
      <c r="AA498" s="935">
        <v>4317</v>
      </c>
      <c r="AB498" s="914"/>
      <c r="AC498" s="819"/>
      <c r="AD498" s="819"/>
      <c r="AE498" s="820"/>
      <c r="AF498" s="605"/>
    </row>
    <row r="499" spans="1:32" s="251" customFormat="1" ht="12.75" customHeight="1">
      <c r="A499" s="239"/>
      <c r="B499" s="239"/>
      <c r="C499" s="904"/>
      <c r="D499" s="905" t="s">
        <v>69</v>
      </c>
      <c r="E499" s="906"/>
      <c r="F499" s="906">
        <f>affa*14640</f>
        <v>14984.04</v>
      </c>
      <c r="G499" s="907"/>
      <c r="H499" s="905" t="s">
        <v>70</v>
      </c>
      <c r="I499" s="906">
        <f>affa*11500</f>
        <v>11770.25</v>
      </c>
      <c r="J499" s="906"/>
      <c r="K499" s="908" t="s">
        <v>70</v>
      </c>
      <c r="L499" s="909">
        <f>szor12*9230</f>
        <v>8173.165</v>
      </c>
      <c r="M499" s="906"/>
      <c r="N499" s="933">
        <v>6920</v>
      </c>
      <c r="O499" s="906">
        <v>4591</v>
      </c>
      <c r="P499" s="910"/>
      <c r="Q499" s="906" t="s">
        <v>71</v>
      </c>
      <c r="R499" s="911">
        <f>affa*15430</f>
        <v>15792.605000000001</v>
      </c>
      <c r="S499" s="907"/>
      <c r="T499" s="906" t="s">
        <v>72</v>
      </c>
      <c r="U499" s="912">
        <f>affa*12240</f>
        <v>12527.640000000001</v>
      </c>
      <c r="V499" s="907"/>
      <c r="W499" s="913" t="s">
        <v>71</v>
      </c>
      <c r="X499" s="913">
        <f>szor12*9910</f>
        <v>8775.305</v>
      </c>
      <c r="Y499" s="907"/>
      <c r="Z499" s="934">
        <v>7409</v>
      </c>
      <c r="AA499" s="935">
        <v>4978</v>
      </c>
      <c r="AB499" s="914"/>
      <c r="AC499" s="819"/>
      <c r="AD499" s="819"/>
      <c r="AE499" s="820"/>
      <c r="AF499" s="605"/>
    </row>
    <row r="500" spans="1:32" s="251" customFormat="1" ht="12.75" customHeight="1">
      <c r="A500" s="239"/>
      <c r="B500" s="239"/>
      <c r="C500" s="904"/>
      <c r="D500" s="905" t="s">
        <v>73</v>
      </c>
      <c r="E500" s="906"/>
      <c r="F500" s="906">
        <f>affa*16010</f>
        <v>16386.235</v>
      </c>
      <c r="G500" s="907"/>
      <c r="H500" s="905" t="s">
        <v>74</v>
      </c>
      <c r="I500" s="906">
        <f>affa*12870</f>
        <v>13172.445000000002</v>
      </c>
      <c r="J500" s="906"/>
      <c r="K500" s="908" t="s">
        <v>74</v>
      </c>
      <c r="L500" s="909">
        <f>szor12*10460</f>
        <v>9262.33</v>
      </c>
      <c r="M500" s="906"/>
      <c r="N500" s="933">
        <v>7679</v>
      </c>
      <c r="O500" s="906">
        <v>5210</v>
      </c>
      <c r="P500" s="910"/>
      <c r="Q500" s="906" t="s">
        <v>75</v>
      </c>
      <c r="R500" s="911">
        <f>affa*16890</f>
        <v>17286.915</v>
      </c>
      <c r="S500" s="907"/>
      <c r="T500" s="906" t="s">
        <v>76</v>
      </c>
      <c r="U500" s="912">
        <f>affa*13710</f>
        <v>14032.185000000001</v>
      </c>
      <c r="V500" s="907"/>
      <c r="W500" s="913" t="s">
        <v>75</v>
      </c>
      <c r="X500" s="913">
        <f>szor12*11230</f>
        <v>9944.164999999999</v>
      </c>
      <c r="Y500" s="907"/>
      <c r="Z500" s="934">
        <v>8223</v>
      </c>
      <c r="AA500" s="935">
        <v>5647</v>
      </c>
      <c r="AB500" s="914"/>
      <c r="AC500" s="819"/>
      <c r="AD500" s="819"/>
      <c r="AE500" s="820"/>
      <c r="AF500" s="605"/>
    </row>
    <row r="501" spans="1:32" s="251" customFormat="1" ht="12.75" customHeight="1">
      <c r="A501" s="239"/>
      <c r="B501" s="239"/>
      <c r="C501" s="904"/>
      <c r="D501" s="905" t="s">
        <v>77</v>
      </c>
      <c r="E501" s="906"/>
      <c r="F501" s="906">
        <f>affa*17380</f>
        <v>17788.43</v>
      </c>
      <c r="G501" s="907"/>
      <c r="H501" s="905" t="s">
        <v>78</v>
      </c>
      <c r="I501" s="906">
        <f>affa*14240</f>
        <v>14574.640000000001</v>
      </c>
      <c r="J501" s="906"/>
      <c r="K501" s="908" t="s">
        <v>78</v>
      </c>
      <c r="L501" s="909">
        <f>szor12*11680</f>
        <v>10342.64</v>
      </c>
      <c r="M501" s="906"/>
      <c r="N501" s="933">
        <v>8438</v>
      </c>
      <c r="O501" s="906">
        <v>5830</v>
      </c>
      <c r="P501" s="910"/>
      <c r="Q501" s="906" t="s">
        <v>79</v>
      </c>
      <c r="R501" s="911">
        <f>affa*18350</f>
        <v>18781.225000000002</v>
      </c>
      <c r="S501" s="907"/>
      <c r="T501" s="906" t="s">
        <v>80</v>
      </c>
      <c r="U501" s="912">
        <f>affa*15170</f>
        <v>15526.495</v>
      </c>
      <c r="V501" s="907"/>
      <c r="W501" s="913" t="s">
        <v>79</v>
      </c>
      <c r="X501" s="913">
        <f>szor12*12540</f>
        <v>11104.17</v>
      </c>
      <c r="Y501" s="907"/>
      <c r="Z501" s="934">
        <v>9039</v>
      </c>
      <c r="AA501" s="935">
        <v>6316</v>
      </c>
      <c r="AB501" s="914"/>
      <c r="AC501" s="819"/>
      <c r="AD501" s="819"/>
      <c r="AE501" s="820"/>
      <c r="AF501" s="605"/>
    </row>
    <row r="502" spans="1:32" s="251" customFormat="1" ht="12.75" customHeight="1">
      <c r="A502" s="239"/>
      <c r="B502" s="239"/>
      <c r="C502" s="936"/>
      <c r="D502" s="937" t="s">
        <v>81</v>
      </c>
      <c r="E502" s="939"/>
      <c r="F502" s="939">
        <f>affa*18760</f>
        <v>19200.86</v>
      </c>
      <c r="G502" s="940"/>
      <c r="H502" s="937" t="s">
        <v>82</v>
      </c>
      <c r="I502" s="939">
        <f>affa*15610</f>
        <v>15976.835000000001</v>
      </c>
      <c r="J502" s="939"/>
      <c r="K502" s="941" t="s">
        <v>82</v>
      </c>
      <c r="L502" s="942">
        <f>szor12*12920</f>
        <v>11440.66</v>
      </c>
      <c r="M502" s="943"/>
      <c r="N502" s="933">
        <v>9201</v>
      </c>
      <c r="O502" s="944">
        <v>6453</v>
      </c>
      <c r="P502" s="945"/>
      <c r="Q502" s="939" t="s">
        <v>83</v>
      </c>
      <c r="R502" s="946">
        <f>affa*19820</f>
        <v>20285.77</v>
      </c>
      <c r="S502" s="940"/>
      <c r="T502" s="939" t="s">
        <v>84</v>
      </c>
      <c r="U502" s="947">
        <f>affa*16640</f>
        <v>17031.04</v>
      </c>
      <c r="V502" s="940"/>
      <c r="W502" s="948" t="s">
        <v>83</v>
      </c>
      <c r="X502" s="948">
        <f>szor12*13860</f>
        <v>12273.029999999999</v>
      </c>
      <c r="Y502" s="949"/>
      <c r="Z502" s="934">
        <v>9858</v>
      </c>
      <c r="AA502" s="935">
        <v>6989</v>
      </c>
      <c r="AB502" s="914"/>
      <c r="AC502" s="819"/>
      <c r="AD502" s="819"/>
      <c r="AE502" s="820"/>
      <c r="AF502" s="605"/>
    </row>
    <row r="503" spans="1:32" s="251" customFormat="1" ht="12.75" customHeight="1">
      <c r="A503" s="239"/>
      <c r="B503" s="239"/>
      <c r="C503" s="904"/>
      <c r="D503" s="905"/>
      <c r="E503" s="906"/>
      <c r="F503" s="906"/>
      <c r="G503" s="907"/>
      <c r="H503" s="905"/>
      <c r="I503" s="906"/>
      <c r="J503" s="906"/>
      <c r="K503" s="908"/>
      <c r="L503" s="909"/>
      <c r="M503" s="906"/>
      <c r="N503" s="933"/>
      <c r="O503" s="880" t="s">
        <v>512</v>
      </c>
      <c r="P503" s="886"/>
      <c r="Q503" s="880"/>
      <c r="R503" s="888"/>
      <c r="S503" s="889"/>
      <c r="T503" s="880" t="s">
        <v>510</v>
      </c>
      <c r="U503" s="917"/>
      <c r="V503" s="889"/>
      <c r="W503" s="885" t="s">
        <v>2</v>
      </c>
      <c r="X503" s="891"/>
      <c r="Y503" s="889"/>
      <c r="Z503" s="951" t="s">
        <v>514</v>
      </c>
      <c r="AA503" s="952" t="s">
        <v>512</v>
      </c>
      <c r="AB503" s="918"/>
      <c r="AC503" s="239"/>
      <c r="AD503" s="239"/>
      <c r="AE503" s="262"/>
      <c r="AF503" s="239"/>
    </row>
    <row r="504" spans="1:32" s="251" customFormat="1" ht="12.75" customHeight="1">
      <c r="A504" s="239"/>
      <c r="B504" s="239"/>
      <c r="C504" s="904"/>
      <c r="D504" s="905"/>
      <c r="E504" s="906"/>
      <c r="F504" s="906"/>
      <c r="G504" s="907"/>
      <c r="H504" s="905"/>
      <c r="I504" s="906"/>
      <c r="J504" s="906"/>
      <c r="K504" s="908"/>
      <c r="L504" s="909"/>
      <c r="M504" s="906"/>
      <c r="N504" s="933"/>
      <c r="O504" s="906">
        <v>1571</v>
      </c>
      <c r="P504" s="910"/>
      <c r="Q504" s="906" t="s">
        <v>713</v>
      </c>
      <c r="R504" s="911">
        <f>affa*7610*(4.3/3.6)*0</f>
        <v>0</v>
      </c>
      <c r="S504" s="907"/>
      <c r="T504" s="906" t="s">
        <v>52</v>
      </c>
      <c r="U504" s="912">
        <f>affa*4520*(4.3/3.6)</f>
        <v>5525.762777777778</v>
      </c>
      <c r="V504" s="907"/>
      <c r="W504" s="913" t="s">
        <v>713</v>
      </c>
      <c r="X504" s="913">
        <f>szor12*3450</f>
        <v>3054.975</v>
      </c>
      <c r="Y504" s="907"/>
      <c r="Z504" s="934">
        <v>2235</v>
      </c>
      <c r="AA504" s="935">
        <v>1709</v>
      </c>
      <c r="AB504" s="914"/>
      <c r="AC504" s="239"/>
      <c r="AD504" s="239"/>
      <c r="AE504" s="262"/>
      <c r="AF504" s="239"/>
    </row>
    <row r="505" spans="1:32" s="251" customFormat="1" ht="12.75" customHeight="1">
      <c r="A505" s="239"/>
      <c r="B505" s="239"/>
      <c r="C505" s="904"/>
      <c r="D505" s="905"/>
      <c r="E505" s="906"/>
      <c r="F505" s="906"/>
      <c r="G505" s="907"/>
      <c r="H505" s="905"/>
      <c r="I505" s="906"/>
      <c r="J505" s="906"/>
      <c r="K505" s="908"/>
      <c r="L505" s="909"/>
      <c r="M505" s="906"/>
      <c r="N505" s="933"/>
      <c r="O505" s="906">
        <v>2167</v>
      </c>
      <c r="P505" s="910"/>
      <c r="Q505" s="906" t="s">
        <v>714</v>
      </c>
      <c r="R505" s="911">
        <f>affa*9050*(4.3/3.6)*0.9</f>
        <v>9957.375625</v>
      </c>
      <c r="S505" s="907"/>
      <c r="T505" s="906" t="s">
        <v>56</v>
      </c>
      <c r="U505" s="912">
        <f>affa*5960*(4.3/3.6)*0.9</f>
        <v>6557.5645</v>
      </c>
      <c r="V505" s="907"/>
      <c r="W505" s="913" t="s">
        <v>714</v>
      </c>
      <c r="X505" s="913">
        <f>szor12*4730</f>
        <v>4188.415</v>
      </c>
      <c r="Y505" s="907"/>
      <c r="Z505" s="934">
        <v>4198</v>
      </c>
      <c r="AA505" s="935">
        <v>2355</v>
      </c>
      <c r="AB505" s="914"/>
      <c r="AC505" s="239"/>
      <c r="AD505" s="239"/>
      <c r="AE505" s="262"/>
      <c r="AF505" s="239"/>
    </row>
    <row r="506" spans="1:32" s="251" customFormat="1" ht="12.75" customHeight="1">
      <c r="A506" s="239"/>
      <c r="B506" s="239"/>
      <c r="C506" s="904"/>
      <c r="D506" s="905"/>
      <c r="E506" s="906"/>
      <c r="F506" s="906"/>
      <c r="G506" s="907"/>
      <c r="H506" s="905"/>
      <c r="I506" s="906"/>
      <c r="J506" s="906"/>
      <c r="K506" s="908"/>
      <c r="L506" s="909"/>
      <c r="M506" s="906"/>
      <c r="N506" s="933"/>
      <c r="O506" s="906">
        <v>2768</v>
      </c>
      <c r="P506" s="910"/>
      <c r="Q506" s="906" t="s">
        <v>715</v>
      </c>
      <c r="R506" s="911">
        <f>affa*10490*(4.3/3.6)*0.9</f>
        <v>11541.753625000001</v>
      </c>
      <c r="S506" s="907"/>
      <c r="T506" s="906" t="s">
        <v>60</v>
      </c>
      <c r="U506" s="912">
        <f>affa*7400*(4.3/3.6)*0.9</f>
        <v>8141.9425</v>
      </c>
      <c r="V506" s="907"/>
      <c r="W506" s="913" t="s">
        <v>715</v>
      </c>
      <c r="X506" s="913">
        <f>szor12*6020</f>
        <v>5330.71</v>
      </c>
      <c r="Y506" s="907"/>
      <c r="Z506" s="934">
        <v>4995</v>
      </c>
      <c r="AA506" s="935">
        <v>3006</v>
      </c>
      <c r="AB506" s="914"/>
      <c r="AC506" s="239"/>
      <c r="AD506" s="239"/>
      <c r="AE506" s="262"/>
      <c r="AF506" s="239"/>
    </row>
    <row r="507" spans="1:32" s="251" customFormat="1" ht="12.75" customHeight="1">
      <c r="A507" s="239"/>
      <c r="B507" s="239"/>
      <c r="C507" s="904"/>
      <c r="D507" s="905"/>
      <c r="E507" s="906"/>
      <c r="F507" s="906"/>
      <c r="G507" s="907"/>
      <c r="H507" s="905"/>
      <c r="I507" s="906"/>
      <c r="J507" s="906"/>
      <c r="K507" s="908"/>
      <c r="L507" s="909"/>
      <c r="M507" s="906"/>
      <c r="N507" s="933"/>
      <c r="O507" s="906">
        <v>3372</v>
      </c>
      <c r="P507" s="910"/>
      <c r="Q507" s="906" t="s">
        <v>716</v>
      </c>
      <c r="R507" s="911">
        <f>affa*12520*(4.3/3.6)*0.9</f>
        <v>13775.2865</v>
      </c>
      <c r="S507" s="907"/>
      <c r="T507" s="906" t="s">
        <v>64</v>
      </c>
      <c r="U507" s="912">
        <f>affa*9340*(4.3/3.6)*0.9</f>
        <v>10276.451750000002</v>
      </c>
      <c r="V507" s="907"/>
      <c r="W507" s="913" t="s">
        <v>716</v>
      </c>
      <c r="X507" s="913">
        <f>szor12*7310</f>
        <v>6473.005</v>
      </c>
      <c r="Y507" s="907"/>
      <c r="Z507" s="934">
        <v>5798</v>
      </c>
      <c r="AA507" s="935">
        <v>3659</v>
      </c>
      <c r="AB507" s="914"/>
      <c r="AC507" s="239"/>
      <c r="AD507" s="239"/>
      <c r="AE507" s="262"/>
      <c r="AF507" s="239"/>
    </row>
    <row r="508" spans="1:32" s="251" customFormat="1" ht="12.75" customHeight="1">
      <c r="A508" s="239"/>
      <c r="B508" s="239"/>
      <c r="C508" s="904"/>
      <c r="D508" s="905"/>
      <c r="E508" s="906"/>
      <c r="F508" s="906"/>
      <c r="G508" s="907"/>
      <c r="H508" s="905"/>
      <c r="I508" s="906"/>
      <c r="J508" s="906"/>
      <c r="K508" s="908"/>
      <c r="L508" s="909"/>
      <c r="M508" s="906"/>
      <c r="N508" s="933"/>
      <c r="O508" s="906">
        <v>3980</v>
      </c>
      <c r="P508" s="910"/>
      <c r="Q508" s="906" t="s">
        <v>717</v>
      </c>
      <c r="R508" s="911">
        <f>affa*13970*(4.3/3.6)*0.9</f>
        <v>15370.667125000002</v>
      </c>
      <c r="S508" s="907"/>
      <c r="T508" s="906" t="s">
        <v>68</v>
      </c>
      <c r="U508" s="912">
        <f>affa*10790*(4.3/3.6)*0.9</f>
        <v>11871.832375</v>
      </c>
      <c r="V508" s="907"/>
      <c r="W508" s="913" t="s">
        <v>717</v>
      </c>
      <c r="X508" s="913">
        <f>szor12*8610</f>
        <v>7624.155</v>
      </c>
      <c r="Y508" s="907"/>
      <c r="Z508" s="934">
        <v>6601</v>
      </c>
      <c r="AA508" s="935">
        <v>4317</v>
      </c>
      <c r="AB508" s="914"/>
      <c r="AC508" s="239"/>
      <c r="AD508" s="239"/>
      <c r="AE508" s="262"/>
      <c r="AF508" s="239"/>
    </row>
    <row r="509" spans="1:32" s="251" customFormat="1" ht="12.75" customHeight="1">
      <c r="A509" s="239"/>
      <c r="B509" s="239"/>
      <c r="C509" s="904"/>
      <c r="D509" s="905"/>
      <c r="E509" s="906"/>
      <c r="F509" s="906"/>
      <c r="G509" s="907"/>
      <c r="H509" s="905"/>
      <c r="I509" s="906"/>
      <c r="J509" s="906"/>
      <c r="K509" s="908"/>
      <c r="L509" s="909"/>
      <c r="M509" s="906"/>
      <c r="N509" s="933"/>
      <c r="O509" s="906">
        <v>4591</v>
      </c>
      <c r="P509" s="910"/>
      <c r="Q509" s="906" t="s">
        <v>718</v>
      </c>
      <c r="R509" s="911">
        <f>affa*15430*(4.3/3.6)*0.9</f>
        <v>16977.050375000003</v>
      </c>
      <c r="S509" s="907"/>
      <c r="T509" s="906" t="s">
        <v>72</v>
      </c>
      <c r="U509" s="912">
        <f>affa*12240*(4.3/3.6)*0.9</f>
        <v>13467.213000000002</v>
      </c>
      <c r="V509" s="907"/>
      <c r="W509" s="913" t="s">
        <v>718</v>
      </c>
      <c r="X509" s="913">
        <f>szor12*9910</f>
        <v>8775.305</v>
      </c>
      <c r="Y509" s="907"/>
      <c r="Z509" s="934">
        <v>7409</v>
      </c>
      <c r="AA509" s="935">
        <v>4978</v>
      </c>
      <c r="AB509" s="914"/>
      <c r="AC509" s="239"/>
      <c r="AD509" s="239"/>
      <c r="AE509" s="262"/>
      <c r="AF509" s="239"/>
    </row>
    <row r="510" spans="1:32" s="251" customFormat="1" ht="12.75" customHeight="1">
      <c r="A510" s="239"/>
      <c r="B510" s="239"/>
      <c r="C510" s="904"/>
      <c r="D510" s="905"/>
      <c r="E510" s="906"/>
      <c r="F510" s="906"/>
      <c r="G510" s="907"/>
      <c r="H510" s="905"/>
      <c r="I510" s="906"/>
      <c r="J510" s="906"/>
      <c r="K510" s="908"/>
      <c r="L510" s="909"/>
      <c r="M510" s="906"/>
      <c r="N510" s="933"/>
      <c r="O510" s="906">
        <v>5210</v>
      </c>
      <c r="P510" s="910"/>
      <c r="Q510" s="906" t="s">
        <v>719</v>
      </c>
      <c r="R510" s="911">
        <f>affa*16890*(4.3/3.6)*0.9</f>
        <v>18583.433625</v>
      </c>
      <c r="S510" s="907"/>
      <c r="T510" s="906" t="s">
        <v>76</v>
      </c>
      <c r="U510" s="912">
        <f>affa*13710*(4.3/3.6)*0.9</f>
        <v>15084.598875</v>
      </c>
      <c r="V510" s="907"/>
      <c r="W510" s="913" t="s">
        <v>719</v>
      </c>
      <c r="X510" s="913">
        <f>szor12*11230</f>
        <v>9944.164999999999</v>
      </c>
      <c r="Y510" s="907"/>
      <c r="Z510" s="934">
        <v>8223</v>
      </c>
      <c r="AA510" s="935">
        <v>5647</v>
      </c>
      <c r="AB510" s="914"/>
      <c r="AC510" s="239"/>
      <c r="AD510" s="239"/>
      <c r="AE510" s="262"/>
      <c r="AF510" s="239"/>
    </row>
    <row r="511" spans="1:32" s="251" customFormat="1" ht="12.75" customHeight="1">
      <c r="A511" s="239"/>
      <c r="B511" s="239"/>
      <c r="C511" s="919"/>
      <c r="D511" s="956"/>
      <c r="E511" s="920"/>
      <c r="F511" s="920"/>
      <c r="G511" s="923"/>
      <c r="H511" s="956"/>
      <c r="I511" s="920"/>
      <c r="J511" s="920"/>
      <c r="K511" s="957"/>
      <c r="L511" s="958"/>
      <c r="M511" s="920"/>
      <c r="N511" s="953"/>
      <c r="O511" s="920">
        <v>5830</v>
      </c>
      <c r="P511" s="921"/>
      <c r="Q511" s="920" t="s">
        <v>720</v>
      </c>
      <c r="R511" s="922">
        <f>affa*18350*(4.3/3.6)*0.9</f>
        <v>20189.816875</v>
      </c>
      <c r="S511" s="923"/>
      <c r="T511" s="920" t="s">
        <v>80</v>
      </c>
      <c r="U511" s="924">
        <f>affa*15170*(4.3/3.6)*0.9</f>
        <v>16690.982125000002</v>
      </c>
      <c r="V511" s="923"/>
      <c r="W511" s="925" t="s">
        <v>720</v>
      </c>
      <c r="X511" s="925">
        <f>szor12*12540</f>
        <v>11104.17</v>
      </c>
      <c r="Y511" s="923"/>
      <c r="Z511" s="954">
        <v>9039</v>
      </c>
      <c r="AA511" s="955">
        <v>6316</v>
      </c>
      <c r="AB511" s="926"/>
      <c r="AC511" s="239"/>
      <c r="AD511" s="239"/>
      <c r="AE511" s="262"/>
      <c r="AF511" s="239"/>
    </row>
    <row r="512" spans="1:32" s="251" customFormat="1" ht="12.75" customHeight="1">
      <c r="A512" s="239"/>
      <c r="B512" s="239"/>
      <c r="C512" s="290"/>
      <c r="D512" s="239"/>
      <c r="E512" s="239"/>
      <c r="F512" s="239"/>
      <c r="G512" s="263"/>
      <c r="H512" s="239"/>
      <c r="I512" s="239"/>
      <c r="J512" s="239"/>
      <c r="K512" s="553"/>
      <c r="L512" s="262"/>
      <c r="M512" s="239"/>
      <c r="N512" s="262"/>
      <c r="O512" s="239"/>
      <c r="P512" s="671"/>
      <c r="Q512" s="239"/>
      <c r="R512" s="672"/>
      <c r="S512" s="263"/>
      <c r="T512" s="239"/>
      <c r="U512" s="504"/>
      <c r="V512" s="263"/>
      <c r="W512" s="301"/>
      <c r="X512" s="301"/>
      <c r="Y512" s="263"/>
      <c r="Z512" s="301"/>
      <c r="AA512" s="262"/>
      <c r="AB512" s="263"/>
      <c r="AC512" s="239"/>
      <c r="AD512" s="239"/>
      <c r="AE512" s="262"/>
      <c r="AF512" s="239"/>
    </row>
    <row r="513" spans="3:31" s="587" customFormat="1" ht="12.75" customHeight="1" hidden="1">
      <c r="C513" s="588"/>
      <c r="G513" s="589"/>
      <c r="K513" s="591"/>
      <c r="L513" s="592"/>
      <c r="N513" s="592"/>
      <c r="P513" s="593"/>
      <c r="R513" s="595"/>
      <c r="S513" s="589"/>
      <c r="U513" s="630"/>
      <c r="V513" s="589"/>
      <c r="W513" s="597"/>
      <c r="X513" s="597"/>
      <c r="Y513" s="589"/>
      <c r="Z513" s="597"/>
      <c r="AA513" s="592"/>
      <c r="AB513" s="589"/>
      <c r="AE513" s="592"/>
    </row>
    <row r="514" spans="3:31" s="587" customFormat="1" ht="12.75" customHeight="1" hidden="1">
      <c r="C514" s="588"/>
      <c r="G514" s="589"/>
      <c r="K514" s="591"/>
      <c r="L514" s="592"/>
      <c r="N514" s="592"/>
      <c r="P514" s="593"/>
      <c r="R514" s="595"/>
      <c r="S514" s="589"/>
      <c r="U514" s="630"/>
      <c r="V514" s="589"/>
      <c r="W514" s="597"/>
      <c r="X514" s="597"/>
      <c r="Y514" s="589"/>
      <c r="Z514" s="597"/>
      <c r="AA514" s="592"/>
      <c r="AB514" s="589"/>
      <c r="AE514" s="592"/>
    </row>
    <row r="515" spans="3:31" s="587" customFormat="1" ht="12.75" customHeight="1" hidden="1">
      <c r="C515" s="588"/>
      <c r="G515" s="589"/>
      <c r="K515" s="591"/>
      <c r="L515" s="592"/>
      <c r="N515" s="592"/>
      <c r="P515" s="593"/>
      <c r="R515" s="595"/>
      <c r="S515" s="589"/>
      <c r="U515" s="630"/>
      <c r="V515" s="589"/>
      <c r="W515" s="597"/>
      <c r="X515" s="597"/>
      <c r="Y515" s="589"/>
      <c r="Z515" s="597"/>
      <c r="AA515" s="592"/>
      <c r="AB515" s="589"/>
      <c r="AE515" s="592"/>
    </row>
    <row r="516" spans="3:31" s="587" customFormat="1" ht="12.75" customHeight="1" hidden="1">
      <c r="C516" s="588"/>
      <c r="G516" s="589"/>
      <c r="K516" s="591"/>
      <c r="L516" s="592"/>
      <c r="N516" s="592"/>
      <c r="P516" s="593"/>
      <c r="R516" s="595"/>
      <c r="S516" s="589"/>
      <c r="U516" s="630"/>
      <c r="V516" s="589"/>
      <c r="W516" s="597"/>
      <c r="X516" s="597"/>
      <c r="Y516" s="589"/>
      <c r="Z516" s="597"/>
      <c r="AA516" s="592"/>
      <c r="AB516" s="589"/>
      <c r="AE516" s="592"/>
    </row>
    <row r="517" spans="3:31" s="587" customFormat="1" ht="12.75" customHeight="1" hidden="1">
      <c r="C517" s="588"/>
      <c r="G517" s="589"/>
      <c r="K517" s="591"/>
      <c r="L517" s="592"/>
      <c r="N517" s="592"/>
      <c r="P517" s="593"/>
      <c r="R517" s="595"/>
      <c r="S517" s="589"/>
      <c r="U517" s="630"/>
      <c r="V517" s="589"/>
      <c r="W517" s="597"/>
      <c r="X517" s="597"/>
      <c r="Y517" s="589"/>
      <c r="Z517" s="597"/>
      <c r="AA517" s="592"/>
      <c r="AB517" s="589"/>
      <c r="AE517" s="592"/>
    </row>
    <row r="518" spans="3:31" s="587" customFormat="1" ht="12.75" customHeight="1" hidden="1">
      <c r="C518" s="588"/>
      <c r="G518" s="589"/>
      <c r="K518" s="591"/>
      <c r="L518" s="592"/>
      <c r="N518" s="592"/>
      <c r="P518" s="593"/>
      <c r="R518" s="595"/>
      <c r="S518" s="589"/>
      <c r="U518" s="630"/>
      <c r="V518" s="589"/>
      <c r="W518" s="597"/>
      <c r="X518" s="597"/>
      <c r="Y518" s="589"/>
      <c r="Z518" s="597"/>
      <c r="AA518" s="592"/>
      <c r="AB518" s="589"/>
      <c r="AE518" s="592"/>
    </row>
    <row r="519" spans="3:31" s="587" customFormat="1" ht="12.75" customHeight="1" hidden="1">
      <c r="C519" s="588"/>
      <c r="G519" s="589"/>
      <c r="K519" s="591"/>
      <c r="L519" s="592"/>
      <c r="N519" s="592"/>
      <c r="P519" s="593"/>
      <c r="R519" s="595"/>
      <c r="S519" s="589"/>
      <c r="U519" s="630"/>
      <c r="V519" s="589"/>
      <c r="W519" s="597"/>
      <c r="X519" s="597"/>
      <c r="Y519" s="589"/>
      <c r="Z519" s="597"/>
      <c r="AA519" s="592"/>
      <c r="AB519" s="589"/>
      <c r="AE519" s="592"/>
    </row>
    <row r="520" spans="3:31" s="587" customFormat="1" ht="12.75" customHeight="1" hidden="1">
      <c r="C520" s="588"/>
      <c r="G520" s="589"/>
      <c r="K520" s="591"/>
      <c r="L520" s="592"/>
      <c r="N520" s="592"/>
      <c r="P520" s="593"/>
      <c r="R520" s="595"/>
      <c r="S520" s="589"/>
      <c r="U520" s="630"/>
      <c r="V520" s="589"/>
      <c r="W520" s="597"/>
      <c r="X520" s="597"/>
      <c r="Y520" s="589"/>
      <c r="Z520" s="597"/>
      <c r="AA520" s="592"/>
      <c r="AB520" s="589"/>
      <c r="AE520" s="592"/>
    </row>
    <row r="521" spans="3:31" s="587" customFormat="1" ht="12.75" customHeight="1" hidden="1">
      <c r="C521" s="588"/>
      <c r="G521" s="589"/>
      <c r="K521" s="591"/>
      <c r="L521" s="592"/>
      <c r="N521" s="592"/>
      <c r="P521" s="593"/>
      <c r="R521" s="595"/>
      <c r="S521" s="589"/>
      <c r="U521" s="630"/>
      <c r="V521" s="589"/>
      <c r="W521" s="597"/>
      <c r="X521" s="597"/>
      <c r="Y521" s="589"/>
      <c r="Z521" s="597"/>
      <c r="AA521" s="592"/>
      <c r="AB521" s="589"/>
      <c r="AE521" s="592"/>
    </row>
    <row r="522" spans="3:31" s="587" customFormat="1" ht="12.75" customHeight="1" hidden="1">
      <c r="C522" s="588"/>
      <c r="G522" s="589"/>
      <c r="K522" s="591"/>
      <c r="L522" s="592"/>
      <c r="N522" s="592"/>
      <c r="P522" s="593"/>
      <c r="R522" s="595"/>
      <c r="S522" s="589"/>
      <c r="U522" s="630"/>
      <c r="V522" s="589"/>
      <c r="W522" s="597"/>
      <c r="X522" s="597"/>
      <c r="Y522" s="589"/>
      <c r="Z522" s="597"/>
      <c r="AA522" s="592"/>
      <c r="AB522" s="589"/>
      <c r="AE522" s="592"/>
    </row>
    <row r="523" spans="3:31" s="587" customFormat="1" ht="12.75" customHeight="1" hidden="1">
      <c r="C523" s="588"/>
      <c r="G523" s="589"/>
      <c r="K523" s="591"/>
      <c r="L523" s="592"/>
      <c r="N523" s="592"/>
      <c r="P523" s="593"/>
      <c r="R523" s="595"/>
      <c r="S523" s="589"/>
      <c r="U523" s="630"/>
      <c r="V523" s="589"/>
      <c r="W523" s="597"/>
      <c r="X523" s="597"/>
      <c r="Y523" s="589"/>
      <c r="Z523" s="597"/>
      <c r="AA523" s="592"/>
      <c r="AB523" s="589"/>
      <c r="AE523" s="592"/>
    </row>
    <row r="524" spans="3:31" s="587" customFormat="1" ht="12.75" customHeight="1" hidden="1">
      <c r="C524" s="588"/>
      <c r="G524" s="589"/>
      <c r="K524" s="591"/>
      <c r="L524" s="592"/>
      <c r="N524" s="592"/>
      <c r="P524" s="593"/>
      <c r="R524" s="595"/>
      <c r="S524" s="589"/>
      <c r="U524" s="630"/>
      <c r="V524" s="589"/>
      <c r="W524" s="597"/>
      <c r="X524" s="597"/>
      <c r="Y524" s="589"/>
      <c r="Z524" s="597"/>
      <c r="AA524" s="592"/>
      <c r="AB524" s="589"/>
      <c r="AE524" s="592"/>
    </row>
    <row r="525" spans="3:31" s="587" customFormat="1" ht="12.75" customHeight="1" hidden="1">
      <c r="C525" s="588"/>
      <c r="G525" s="589"/>
      <c r="K525" s="591"/>
      <c r="L525" s="592"/>
      <c r="N525" s="592"/>
      <c r="P525" s="593"/>
      <c r="R525" s="595"/>
      <c r="S525" s="589"/>
      <c r="U525" s="630"/>
      <c r="V525" s="589"/>
      <c r="W525" s="597"/>
      <c r="X525" s="597"/>
      <c r="Y525" s="589"/>
      <c r="Z525" s="597"/>
      <c r="AA525" s="592"/>
      <c r="AB525" s="589"/>
      <c r="AE525" s="592"/>
    </row>
    <row r="526" spans="3:31" s="587" customFormat="1" ht="12.75" customHeight="1" hidden="1">
      <c r="C526" s="588"/>
      <c r="G526" s="589"/>
      <c r="K526" s="591"/>
      <c r="L526" s="592"/>
      <c r="N526" s="592"/>
      <c r="P526" s="593"/>
      <c r="R526" s="595"/>
      <c r="S526" s="589"/>
      <c r="U526" s="630"/>
      <c r="V526" s="589"/>
      <c r="W526" s="597"/>
      <c r="X526" s="597"/>
      <c r="Y526" s="589"/>
      <c r="Z526" s="597"/>
      <c r="AA526" s="592"/>
      <c r="AB526" s="589"/>
      <c r="AE526" s="592"/>
    </row>
    <row r="527" spans="3:31" s="587" customFormat="1" ht="12.75" customHeight="1" hidden="1">
      <c r="C527" s="588"/>
      <c r="G527" s="589"/>
      <c r="K527" s="591"/>
      <c r="L527" s="592"/>
      <c r="N527" s="592"/>
      <c r="P527" s="593"/>
      <c r="R527" s="595"/>
      <c r="S527" s="589"/>
      <c r="U527" s="630"/>
      <c r="V527" s="589"/>
      <c r="W527" s="597"/>
      <c r="X527" s="597"/>
      <c r="Y527" s="589"/>
      <c r="Z527" s="597"/>
      <c r="AA527" s="592"/>
      <c r="AB527" s="589"/>
      <c r="AE527" s="592"/>
    </row>
    <row r="528" spans="3:31" s="587" customFormat="1" ht="12.75" customHeight="1" hidden="1">
      <c r="C528" s="588"/>
      <c r="G528" s="589"/>
      <c r="K528" s="591"/>
      <c r="L528" s="592"/>
      <c r="N528" s="592"/>
      <c r="P528" s="593"/>
      <c r="R528" s="595"/>
      <c r="S528" s="589"/>
      <c r="U528" s="630"/>
      <c r="V528" s="589"/>
      <c r="W528" s="597"/>
      <c r="X528" s="597"/>
      <c r="Y528" s="589"/>
      <c r="Z528" s="597"/>
      <c r="AA528" s="592"/>
      <c r="AB528" s="589"/>
      <c r="AE528" s="592"/>
    </row>
    <row r="529" spans="3:31" s="587" customFormat="1" ht="12.75" customHeight="1" hidden="1">
      <c r="C529" s="588"/>
      <c r="G529" s="589"/>
      <c r="K529" s="591"/>
      <c r="L529" s="592"/>
      <c r="N529" s="592"/>
      <c r="P529" s="593"/>
      <c r="R529" s="595"/>
      <c r="S529" s="589"/>
      <c r="U529" s="630"/>
      <c r="V529" s="589"/>
      <c r="W529" s="597"/>
      <c r="X529" s="597"/>
      <c r="Y529" s="589"/>
      <c r="Z529" s="597"/>
      <c r="AA529" s="592"/>
      <c r="AB529" s="589"/>
      <c r="AE529" s="592"/>
    </row>
    <row r="530" spans="3:31" s="587" customFormat="1" ht="12.75" customHeight="1" hidden="1">
      <c r="C530" s="588"/>
      <c r="G530" s="589"/>
      <c r="K530" s="591"/>
      <c r="L530" s="592"/>
      <c r="N530" s="592"/>
      <c r="P530" s="593"/>
      <c r="R530" s="595"/>
      <c r="S530" s="589"/>
      <c r="U530" s="630"/>
      <c r="V530" s="589"/>
      <c r="W530" s="597"/>
      <c r="X530" s="597"/>
      <c r="Y530" s="589"/>
      <c r="Z530" s="597"/>
      <c r="AA530" s="592"/>
      <c r="AB530" s="589"/>
      <c r="AE530" s="592"/>
    </row>
    <row r="531" spans="3:31" s="587" customFormat="1" ht="12.75" customHeight="1" hidden="1">
      <c r="C531" s="588"/>
      <c r="G531" s="589"/>
      <c r="K531" s="591"/>
      <c r="L531" s="592"/>
      <c r="N531" s="592"/>
      <c r="P531" s="593"/>
      <c r="R531" s="595"/>
      <c r="S531" s="589"/>
      <c r="U531" s="630"/>
      <c r="V531" s="589"/>
      <c r="W531" s="597"/>
      <c r="X531" s="597"/>
      <c r="Y531" s="589"/>
      <c r="Z531" s="597"/>
      <c r="AA531" s="592"/>
      <c r="AB531" s="589"/>
      <c r="AE531" s="592"/>
    </row>
    <row r="532" spans="3:31" s="587" customFormat="1" ht="12.75" customHeight="1" hidden="1">
      <c r="C532" s="588"/>
      <c r="G532" s="589"/>
      <c r="K532" s="591"/>
      <c r="L532" s="592"/>
      <c r="N532" s="592"/>
      <c r="P532" s="593"/>
      <c r="R532" s="595"/>
      <c r="S532" s="589"/>
      <c r="U532" s="630"/>
      <c r="V532" s="589"/>
      <c r="W532" s="597"/>
      <c r="X532" s="597"/>
      <c r="Y532" s="589"/>
      <c r="Z532" s="597"/>
      <c r="AA532" s="592"/>
      <c r="AB532" s="589"/>
      <c r="AE532" s="592"/>
    </row>
    <row r="533" spans="3:31" s="587" customFormat="1" ht="12.75" customHeight="1" hidden="1">
      <c r="C533" s="588"/>
      <c r="G533" s="589"/>
      <c r="K533" s="591"/>
      <c r="L533" s="592"/>
      <c r="N533" s="592"/>
      <c r="P533" s="593"/>
      <c r="R533" s="595"/>
      <c r="S533" s="589"/>
      <c r="U533" s="630"/>
      <c r="V533" s="589"/>
      <c r="W533" s="597"/>
      <c r="X533" s="597"/>
      <c r="Y533" s="589"/>
      <c r="Z533" s="597"/>
      <c r="AA533" s="592"/>
      <c r="AB533" s="589"/>
      <c r="AE533" s="592"/>
    </row>
    <row r="534" spans="3:31" s="587" customFormat="1" ht="12.75" customHeight="1" hidden="1">
      <c r="C534" s="588"/>
      <c r="G534" s="589"/>
      <c r="K534" s="591"/>
      <c r="L534" s="592"/>
      <c r="N534" s="592"/>
      <c r="P534" s="593"/>
      <c r="R534" s="595"/>
      <c r="S534" s="589"/>
      <c r="U534" s="630"/>
      <c r="V534" s="589"/>
      <c r="W534" s="597"/>
      <c r="X534" s="597"/>
      <c r="Y534" s="589"/>
      <c r="Z534" s="597"/>
      <c r="AA534" s="592"/>
      <c r="AB534" s="589"/>
      <c r="AE534" s="592"/>
    </row>
    <row r="535" spans="3:31" s="587" customFormat="1" ht="12.75" customHeight="1" hidden="1">
      <c r="C535" s="588"/>
      <c r="G535" s="589"/>
      <c r="K535" s="591"/>
      <c r="L535" s="592"/>
      <c r="N535" s="592"/>
      <c r="P535" s="593"/>
      <c r="R535" s="595"/>
      <c r="S535" s="589"/>
      <c r="U535" s="630"/>
      <c r="V535" s="589"/>
      <c r="W535" s="597"/>
      <c r="X535" s="597"/>
      <c r="Y535" s="589"/>
      <c r="Z535" s="597"/>
      <c r="AA535" s="592"/>
      <c r="AB535" s="589"/>
      <c r="AE535" s="592"/>
    </row>
    <row r="536" spans="3:31" s="587" customFormat="1" ht="12.75" customHeight="1" hidden="1">
      <c r="C536" s="588"/>
      <c r="G536" s="589"/>
      <c r="K536" s="591"/>
      <c r="L536" s="592"/>
      <c r="N536" s="592"/>
      <c r="P536" s="593"/>
      <c r="R536" s="595"/>
      <c r="S536" s="589"/>
      <c r="U536" s="630"/>
      <c r="V536" s="589"/>
      <c r="W536" s="597"/>
      <c r="X536" s="597"/>
      <c r="Y536" s="589"/>
      <c r="Z536" s="597"/>
      <c r="AA536" s="592"/>
      <c r="AB536" s="589"/>
      <c r="AE536" s="592"/>
    </row>
    <row r="537" spans="3:31" s="587" customFormat="1" ht="12.75" customHeight="1" hidden="1">
      <c r="C537" s="588"/>
      <c r="G537" s="589"/>
      <c r="K537" s="591"/>
      <c r="L537" s="592"/>
      <c r="N537" s="592"/>
      <c r="P537" s="593"/>
      <c r="R537" s="595"/>
      <c r="S537" s="589"/>
      <c r="U537" s="630"/>
      <c r="V537" s="589"/>
      <c r="W537" s="597"/>
      <c r="X537" s="597"/>
      <c r="Y537" s="589"/>
      <c r="Z537" s="597"/>
      <c r="AA537" s="592"/>
      <c r="AB537" s="589"/>
      <c r="AE537" s="592"/>
    </row>
    <row r="538" spans="3:31" s="587" customFormat="1" ht="12.75" customHeight="1" hidden="1">
      <c r="C538" s="588"/>
      <c r="G538" s="589"/>
      <c r="K538" s="591"/>
      <c r="L538" s="592"/>
      <c r="N538" s="592"/>
      <c r="P538" s="593"/>
      <c r="R538" s="595"/>
      <c r="S538" s="589"/>
      <c r="U538" s="630"/>
      <c r="V538" s="589"/>
      <c r="W538" s="597"/>
      <c r="X538" s="597"/>
      <c r="Y538" s="589"/>
      <c r="Z538" s="597"/>
      <c r="AA538" s="592"/>
      <c r="AB538" s="589"/>
      <c r="AE538" s="592"/>
    </row>
    <row r="539" spans="3:31" s="587" customFormat="1" ht="12.75" customHeight="1" hidden="1">
      <c r="C539" s="588"/>
      <c r="G539" s="589"/>
      <c r="K539" s="591"/>
      <c r="L539" s="592"/>
      <c r="N539" s="592"/>
      <c r="P539" s="593"/>
      <c r="R539" s="595"/>
      <c r="S539" s="589"/>
      <c r="U539" s="630"/>
      <c r="V539" s="589"/>
      <c r="W539" s="597"/>
      <c r="X539" s="597"/>
      <c r="Y539" s="589"/>
      <c r="Z539" s="597"/>
      <c r="AA539" s="592"/>
      <c r="AB539" s="589"/>
      <c r="AE539" s="592"/>
    </row>
    <row r="540" spans="3:31" s="587" customFormat="1" ht="12.75" customHeight="1" hidden="1">
      <c r="C540" s="588"/>
      <c r="G540" s="589"/>
      <c r="K540" s="591"/>
      <c r="L540" s="592"/>
      <c r="N540" s="592"/>
      <c r="P540" s="593"/>
      <c r="R540" s="595"/>
      <c r="S540" s="589"/>
      <c r="U540" s="630"/>
      <c r="V540" s="589"/>
      <c r="W540" s="597"/>
      <c r="X540" s="597"/>
      <c r="Y540" s="589"/>
      <c r="Z540" s="597"/>
      <c r="AA540" s="592"/>
      <c r="AB540" s="589"/>
      <c r="AE540" s="592"/>
    </row>
    <row r="541" spans="3:31" s="587" customFormat="1" ht="12.75" customHeight="1" hidden="1">
      <c r="C541" s="588"/>
      <c r="G541" s="589"/>
      <c r="K541" s="591"/>
      <c r="L541" s="592"/>
      <c r="N541" s="592"/>
      <c r="P541" s="593"/>
      <c r="R541" s="595"/>
      <c r="S541" s="589"/>
      <c r="U541" s="630"/>
      <c r="V541" s="589"/>
      <c r="W541" s="597"/>
      <c r="X541" s="597"/>
      <c r="Y541" s="589"/>
      <c r="Z541" s="597"/>
      <c r="AA541" s="592"/>
      <c r="AB541" s="589"/>
      <c r="AE541" s="592"/>
    </row>
    <row r="542" spans="3:31" s="587" customFormat="1" ht="12.75" customHeight="1" hidden="1">
      <c r="C542" s="588"/>
      <c r="G542" s="589"/>
      <c r="K542" s="591"/>
      <c r="L542" s="592"/>
      <c r="N542" s="592"/>
      <c r="P542" s="593"/>
      <c r="R542" s="595"/>
      <c r="S542" s="589"/>
      <c r="U542" s="630"/>
      <c r="V542" s="589"/>
      <c r="W542" s="597"/>
      <c r="X542" s="597"/>
      <c r="Y542" s="589"/>
      <c r="Z542" s="597"/>
      <c r="AA542" s="592"/>
      <c r="AB542" s="589"/>
      <c r="AE542" s="592"/>
    </row>
    <row r="543" spans="3:31" s="587" customFormat="1" ht="12.75" customHeight="1" hidden="1">
      <c r="C543" s="588"/>
      <c r="G543" s="589"/>
      <c r="K543" s="591"/>
      <c r="L543" s="592"/>
      <c r="N543" s="592"/>
      <c r="P543" s="593"/>
      <c r="R543" s="595"/>
      <c r="S543" s="589"/>
      <c r="U543" s="630"/>
      <c r="V543" s="589"/>
      <c r="W543" s="597"/>
      <c r="X543" s="597"/>
      <c r="Y543" s="589"/>
      <c r="Z543" s="597"/>
      <c r="AA543" s="592"/>
      <c r="AB543" s="589"/>
      <c r="AE543" s="592"/>
    </row>
    <row r="544" spans="3:31" s="587" customFormat="1" ht="12.75" customHeight="1" hidden="1">
      <c r="C544" s="588"/>
      <c r="G544" s="589"/>
      <c r="K544" s="591"/>
      <c r="L544" s="592"/>
      <c r="N544" s="592"/>
      <c r="P544" s="593"/>
      <c r="R544" s="595"/>
      <c r="S544" s="589"/>
      <c r="U544" s="630"/>
      <c r="V544" s="589"/>
      <c r="W544" s="597"/>
      <c r="X544" s="597"/>
      <c r="Y544" s="589"/>
      <c r="Z544" s="597"/>
      <c r="AA544" s="592"/>
      <c r="AB544" s="589"/>
      <c r="AE544" s="592"/>
    </row>
    <row r="545" spans="3:31" s="587" customFormat="1" ht="12.75" customHeight="1" hidden="1">
      <c r="C545" s="588"/>
      <c r="G545" s="589"/>
      <c r="K545" s="591"/>
      <c r="L545" s="592"/>
      <c r="N545" s="592"/>
      <c r="P545" s="593"/>
      <c r="R545" s="595"/>
      <c r="S545" s="589"/>
      <c r="U545" s="630"/>
      <c r="V545" s="589"/>
      <c r="W545" s="597"/>
      <c r="X545" s="597"/>
      <c r="Y545" s="589"/>
      <c r="Z545" s="597"/>
      <c r="AA545" s="592"/>
      <c r="AB545" s="589"/>
      <c r="AE545" s="592"/>
    </row>
    <row r="546" spans="3:31" s="587" customFormat="1" ht="12.75" customHeight="1" hidden="1">
      <c r="C546" s="588"/>
      <c r="G546" s="589"/>
      <c r="K546" s="591"/>
      <c r="L546" s="592"/>
      <c r="N546" s="592"/>
      <c r="P546" s="593"/>
      <c r="R546" s="595"/>
      <c r="S546" s="589"/>
      <c r="U546" s="630"/>
      <c r="V546" s="589"/>
      <c r="W546" s="597"/>
      <c r="X546" s="597"/>
      <c r="Y546" s="589"/>
      <c r="Z546" s="597"/>
      <c r="AA546" s="592"/>
      <c r="AB546" s="589"/>
      <c r="AE546" s="592"/>
    </row>
    <row r="547" spans="3:31" s="587" customFormat="1" ht="12.75" customHeight="1" hidden="1">
      <c r="C547" s="588"/>
      <c r="G547" s="589"/>
      <c r="K547" s="591"/>
      <c r="L547" s="592"/>
      <c r="N547" s="592"/>
      <c r="P547" s="593"/>
      <c r="R547" s="595"/>
      <c r="S547" s="589"/>
      <c r="U547" s="630"/>
      <c r="V547" s="589"/>
      <c r="W547" s="597"/>
      <c r="X547" s="597"/>
      <c r="Y547" s="589"/>
      <c r="Z547" s="597"/>
      <c r="AA547" s="592"/>
      <c r="AB547" s="589"/>
      <c r="AE547" s="592"/>
    </row>
    <row r="548" spans="3:31" s="587" customFormat="1" ht="12.75" customHeight="1" hidden="1">
      <c r="C548" s="588"/>
      <c r="G548" s="589"/>
      <c r="K548" s="591"/>
      <c r="L548" s="592"/>
      <c r="N548" s="592"/>
      <c r="P548" s="593"/>
      <c r="R548" s="595"/>
      <c r="S548" s="589"/>
      <c r="U548" s="630"/>
      <c r="V548" s="589"/>
      <c r="W548" s="597"/>
      <c r="X548" s="597"/>
      <c r="Y548" s="589"/>
      <c r="Z548" s="597"/>
      <c r="AA548" s="592"/>
      <c r="AB548" s="589"/>
      <c r="AE548" s="592"/>
    </row>
    <row r="549" spans="3:31" s="587" customFormat="1" ht="12.75" customHeight="1" hidden="1">
      <c r="C549" s="588"/>
      <c r="G549" s="589"/>
      <c r="K549" s="591"/>
      <c r="L549" s="592"/>
      <c r="N549" s="592"/>
      <c r="P549" s="593"/>
      <c r="R549" s="595"/>
      <c r="S549" s="589"/>
      <c r="U549" s="630"/>
      <c r="V549" s="589"/>
      <c r="W549" s="597"/>
      <c r="X549" s="597"/>
      <c r="Y549" s="589"/>
      <c r="Z549" s="597"/>
      <c r="AA549" s="592"/>
      <c r="AB549" s="589"/>
      <c r="AE549" s="592"/>
    </row>
    <row r="550" spans="3:31" s="587" customFormat="1" ht="12.75" customHeight="1" hidden="1">
      <c r="C550" s="588"/>
      <c r="G550" s="589"/>
      <c r="K550" s="591"/>
      <c r="L550" s="592"/>
      <c r="N550" s="592"/>
      <c r="P550" s="593"/>
      <c r="R550" s="595"/>
      <c r="S550" s="589"/>
      <c r="U550" s="630"/>
      <c r="V550" s="589"/>
      <c r="W550" s="597"/>
      <c r="X550" s="597"/>
      <c r="Y550" s="589"/>
      <c r="Z550" s="597"/>
      <c r="AA550" s="592"/>
      <c r="AB550" s="589"/>
      <c r="AE550" s="592"/>
    </row>
    <row r="551" spans="3:31" s="587" customFormat="1" ht="12.75" customHeight="1" hidden="1">
      <c r="C551" s="588"/>
      <c r="G551" s="589"/>
      <c r="K551" s="591"/>
      <c r="L551" s="592"/>
      <c r="N551" s="592"/>
      <c r="P551" s="593"/>
      <c r="R551" s="595"/>
      <c r="S551" s="589"/>
      <c r="U551" s="630"/>
      <c r="V551" s="589"/>
      <c r="W551" s="597"/>
      <c r="X551" s="597"/>
      <c r="Y551" s="589"/>
      <c r="Z551" s="597"/>
      <c r="AA551" s="592"/>
      <c r="AB551" s="589"/>
      <c r="AE551" s="592"/>
    </row>
    <row r="552" spans="3:31" s="587" customFormat="1" ht="12.75" customHeight="1" hidden="1">
      <c r="C552" s="588"/>
      <c r="G552" s="589"/>
      <c r="K552" s="591"/>
      <c r="L552" s="592"/>
      <c r="N552" s="592"/>
      <c r="P552" s="593"/>
      <c r="R552" s="595"/>
      <c r="S552" s="589"/>
      <c r="U552" s="630"/>
      <c r="V552" s="589"/>
      <c r="W552" s="597"/>
      <c r="X552" s="597"/>
      <c r="Y552" s="589"/>
      <c r="Z552" s="597"/>
      <c r="AA552" s="592"/>
      <c r="AB552" s="589"/>
      <c r="AE552" s="592"/>
    </row>
    <row r="553" spans="3:31" s="587" customFormat="1" ht="12.75" customHeight="1" hidden="1">
      <c r="C553" s="588"/>
      <c r="G553" s="589"/>
      <c r="K553" s="591"/>
      <c r="L553" s="592"/>
      <c r="N553" s="592"/>
      <c r="P553" s="593"/>
      <c r="R553" s="595"/>
      <c r="S553" s="589"/>
      <c r="U553" s="630"/>
      <c r="V553" s="589"/>
      <c r="W553" s="597"/>
      <c r="X553" s="597"/>
      <c r="Y553" s="589"/>
      <c r="Z553" s="597"/>
      <c r="AA553" s="592"/>
      <c r="AB553" s="589"/>
      <c r="AE553" s="592"/>
    </row>
    <row r="554" spans="3:31" s="587" customFormat="1" ht="12.75" customHeight="1" hidden="1">
      <c r="C554" s="588"/>
      <c r="G554" s="589"/>
      <c r="K554" s="591"/>
      <c r="L554" s="592"/>
      <c r="N554" s="592"/>
      <c r="P554" s="593"/>
      <c r="R554" s="595"/>
      <c r="S554" s="589"/>
      <c r="U554" s="630"/>
      <c r="V554" s="589"/>
      <c r="W554" s="597"/>
      <c r="X554" s="597"/>
      <c r="Y554" s="589"/>
      <c r="Z554" s="597"/>
      <c r="AA554" s="592"/>
      <c r="AB554" s="589"/>
      <c r="AE554" s="592"/>
    </row>
    <row r="555" spans="3:31" s="587" customFormat="1" ht="12.75" customHeight="1" hidden="1">
      <c r="C555" s="588"/>
      <c r="G555" s="589"/>
      <c r="K555" s="591"/>
      <c r="L555" s="592"/>
      <c r="N555" s="592"/>
      <c r="P555" s="593"/>
      <c r="R555" s="595"/>
      <c r="S555" s="589"/>
      <c r="U555" s="630"/>
      <c r="V555" s="589"/>
      <c r="W555" s="597"/>
      <c r="X555" s="597"/>
      <c r="Y555" s="589"/>
      <c r="Z555" s="597"/>
      <c r="AA555" s="592"/>
      <c r="AB555" s="589"/>
      <c r="AE555" s="592"/>
    </row>
    <row r="556" spans="3:31" s="587" customFormat="1" ht="12.75" customHeight="1" hidden="1">
      <c r="C556" s="588"/>
      <c r="G556" s="589"/>
      <c r="K556" s="591"/>
      <c r="L556" s="592"/>
      <c r="N556" s="592"/>
      <c r="P556" s="593"/>
      <c r="R556" s="595"/>
      <c r="S556" s="589"/>
      <c r="U556" s="630"/>
      <c r="V556" s="589"/>
      <c r="W556" s="597"/>
      <c r="X556" s="597"/>
      <c r="Y556" s="589"/>
      <c r="Z556" s="597"/>
      <c r="AA556" s="592"/>
      <c r="AB556" s="589"/>
      <c r="AE556" s="592"/>
    </row>
    <row r="557" spans="3:31" s="587" customFormat="1" ht="12.75" customHeight="1" hidden="1">
      <c r="C557" s="588"/>
      <c r="G557" s="589"/>
      <c r="K557" s="591"/>
      <c r="L557" s="592"/>
      <c r="N557" s="592"/>
      <c r="P557" s="593"/>
      <c r="R557" s="595"/>
      <c r="S557" s="589"/>
      <c r="U557" s="630"/>
      <c r="V557" s="589"/>
      <c r="W557" s="597"/>
      <c r="X557" s="597"/>
      <c r="Y557" s="589"/>
      <c r="Z557" s="597"/>
      <c r="AA557" s="592"/>
      <c r="AB557" s="589"/>
      <c r="AE557" s="592"/>
    </row>
    <row r="558" spans="3:31" s="587" customFormat="1" ht="12.75" customHeight="1" hidden="1">
      <c r="C558" s="588"/>
      <c r="G558" s="589"/>
      <c r="K558" s="591"/>
      <c r="L558" s="592"/>
      <c r="N558" s="592"/>
      <c r="P558" s="593"/>
      <c r="R558" s="595"/>
      <c r="S558" s="589"/>
      <c r="U558" s="630"/>
      <c r="V558" s="589"/>
      <c r="W558" s="597"/>
      <c r="X558" s="597"/>
      <c r="Y558" s="589"/>
      <c r="Z558" s="597"/>
      <c r="AA558" s="592"/>
      <c r="AB558" s="589"/>
      <c r="AE558" s="592"/>
    </row>
    <row r="559" spans="3:31" s="587" customFormat="1" ht="12.75" customHeight="1" hidden="1">
      <c r="C559" s="588"/>
      <c r="G559" s="589"/>
      <c r="K559" s="591"/>
      <c r="L559" s="592"/>
      <c r="N559" s="592"/>
      <c r="P559" s="593"/>
      <c r="R559" s="595"/>
      <c r="S559" s="589"/>
      <c r="U559" s="630"/>
      <c r="V559" s="589"/>
      <c r="W559" s="597"/>
      <c r="X559" s="597"/>
      <c r="Y559" s="589"/>
      <c r="Z559" s="597"/>
      <c r="AA559" s="592"/>
      <c r="AB559" s="589"/>
      <c r="AE559" s="592"/>
    </row>
    <row r="560" spans="3:31" s="587" customFormat="1" ht="12.75" customHeight="1" hidden="1">
      <c r="C560" s="588"/>
      <c r="G560" s="589"/>
      <c r="K560" s="591"/>
      <c r="L560" s="592"/>
      <c r="N560" s="592"/>
      <c r="P560" s="593"/>
      <c r="R560" s="595"/>
      <c r="S560" s="589"/>
      <c r="U560" s="630"/>
      <c r="V560" s="589"/>
      <c r="W560" s="597"/>
      <c r="X560" s="597"/>
      <c r="Y560" s="589"/>
      <c r="Z560" s="597"/>
      <c r="AA560" s="592"/>
      <c r="AB560" s="589"/>
      <c r="AE560" s="592"/>
    </row>
    <row r="561" spans="3:31" s="587" customFormat="1" ht="12.75" customHeight="1" hidden="1">
      <c r="C561" s="588"/>
      <c r="G561" s="589"/>
      <c r="K561" s="591"/>
      <c r="L561" s="592"/>
      <c r="N561" s="592"/>
      <c r="P561" s="593"/>
      <c r="R561" s="595"/>
      <c r="S561" s="589"/>
      <c r="U561" s="630"/>
      <c r="V561" s="589"/>
      <c r="W561" s="597"/>
      <c r="X561" s="597"/>
      <c r="Y561" s="589"/>
      <c r="Z561" s="597"/>
      <c r="AA561" s="592"/>
      <c r="AB561" s="589"/>
      <c r="AE561" s="592"/>
    </row>
    <row r="562" spans="3:31" s="587" customFormat="1" ht="12.75" customHeight="1" hidden="1">
      <c r="C562" s="588"/>
      <c r="G562" s="589"/>
      <c r="K562" s="591"/>
      <c r="L562" s="592"/>
      <c r="N562" s="592"/>
      <c r="P562" s="593"/>
      <c r="R562" s="595"/>
      <c r="S562" s="589"/>
      <c r="U562" s="630"/>
      <c r="V562" s="589"/>
      <c r="W562" s="597"/>
      <c r="X562" s="597"/>
      <c r="Y562" s="589"/>
      <c r="Z562" s="597"/>
      <c r="AA562" s="592"/>
      <c r="AB562" s="589"/>
      <c r="AE562" s="592"/>
    </row>
    <row r="563" spans="3:31" s="587" customFormat="1" ht="12.75" customHeight="1" hidden="1">
      <c r="C563" s="588"/>
      <c r="G563" s="589"/>
      <c r="K563" s="591"/>
      <c r="L563" s="592"/>
      <c r="N563" s="592"/>
      <c r="P563" s="593"/>
      <c r="R563" s="595"/>
      <c r="S563" s="589"/>
      <c r="U563" s="630"/>
      <c r="V563" s="589"/>
      <c r="W563" s="597"/>
      <c r="X563" s="597"/>
      <c r="Y563" s="589"/>
      <c r="Z563" s="597"/>
      <c r="AA563" s="592"/>
      <c r="AB563" s="589"/>
      <c r="AE563" s="592"/>
    </row>
    <row r="564" spans="3:31" s="587" customFormat="1" ht="12.75" customHeight="1" hidden="1">
      <c r="C564" s="588"/>
      <c r="G564" s="589"/>
      <c r="K564" s="591"/>
      <c r="L564" s="592"/>
      <c r="N564" s="592"/>
      <c r="P564" s="593"/>
      <c r="R564" s="595"/>
      <c r="S564" s="589"/>
      <c r="U564" s="630"/>
      <c r="V564" s="589"/>
      <c r="W564" s="597"/>
      <c r="X564" s="597"/>
      <c r="Y564" s="589"/>
      <c r="Z564" s="597"/>
      <c r="AA564" s="592"/>
      <c r="AB564" s="589"/>
      <c r="AE564" s="592"/>
    </row>
    <row r="565" spans="3:31" s="587" customFormat="1" ht="12.75" customHeight="1" hidden="1">
      <c r="C565" s="588"/>
      <c r="G565" s="589"/>
      <c r="K565" s="591"/>
      <c r="L565" s="592"/>
      <c r="N565" s="592"/>
      <c r="P565" s="593"/>
      <c r="R565" s="595"/>
      <c r="S565" s="589"/>
      <c r="U565" s="630"/>
      <c r="V565" s="589"/>
      <c r="W565" s="597"/>
      <c r="X565" s="597"/>
      <c r="Y565" s="589"/>
      <c r="Z565" s="597"/>
      <c r="AA565" s="592"/>
      <c r="AB565" s="589"/>
      <c r="AE565" s="592"/>
    </row>
    <row r="566" spans="3:31" s="587" customFormat="1" ht="12.75" customHeight="1" hidden="1">
      <c r="C566" s="588"/>
      <c r="G566" s="589"/>
      <c r="K566" s="591"/>
      <c r="L566" s="592"/>
      <c r="N566" s="592"/>
      <c r="P566" s="593"/>
      <c r="R566" s="595"/>
      <c r="S566" s="589"/>
      <c r="U566" s="630"/>
      <c r="V566" s="589"/>
      <c r="W566" s="597"/>
      <c r="X566" s="597"/>
      <c r="Y566" s="589"/>
      <c r="Z566" s="597"/>
      <c r="AA566" s="592"/>
      <c r="AB566" s="589"/>
      <c r="AE566" s="592"/>
    </row>
    <row r="567" spans="3:31" s="587" customFormat="1" ht="12.75" customHeight="1" hidden="1">
      <c r="C567" s="588"/>
      <c r="G567" s="589"/>
      <c r="K567" s="591"/>
      <c r="L567" s="592"/>
      <c r="N567" s="592"/>
      <c r="P567" s="593"/>
      <c r="R567" s="595"/>
      <c r="S567" s="589"/>
      <c r="U567" s="630"/>
      <c r="V567" s="589"/>
      <c r="W567" s="597"/>
      <c r="X567" s="597"/>
      <c r="Y567" s="589"/>
      <c r="Z567" s="597"/>
      <c r="AA567" s="592"/>
      <c r="AB567" s="589"/>
      <c r="AE567" s="592"/>
    </row>
    <row r="568" spans="3:31" s="587" customFormat="1" ht="12.75" customHeight="1" hidden="1">
      <c r="C568" s="588"/>
      <c r="G568" s="589"/>
      <c r="K568" s="591"/>
      <c r="L568" s="592"/>
      <c r="N568" s="592"/>
      <c r="P568" s="593"/>
      <c r="R568" s="595"/>
      <c r="S568" s="589"/>
      <c r="U568" s="630"/>
      <c r="V568" s="589"/>
      <c r="W568" s="597"/>
      <c r="X568" s="597"/>
      <c r="Y568" s="589"/>
      <c r="Z568" s="597"/>
      <c r="AA568" s="592"/>
      <c r="AB568" s="589"/>
      <c r="AE568" s="592"/>
    </row>
    <row r="569" spans="3:31" s="587" customFormat="1" ht="12.75" customHeight="1" hidden="1">
      <c r="C569" s="588"/>
      <c r="G569" s="589"/>
      <c r="K569" s="591"/>
      <c r="L569" s="592"/>
      <c r="N569" s="592"/>
      <c r="P569" s="593"/>
      <c r="R569" s="595"/>
      <c r="S569" s="589"/>
      <c r="U569" s="630"/>
      <c r="V569" s="589"/>
      <c r="W569" s="597"/>
      <c r="X569" s="597"/>
      <c r="Y569" s="589"/>
      <c r="Z569" s="597"/>
      <c r="AA569" s="592"/>
      <c r="AB569" s="589"/>
      <c r="AE569" s="592"/>
    </row>
    <row r="570" spans="3:31" s="587" customFormat="1" ht="12.75" customHeight="1" hidden="1">
      <c r="C570" s="588"/>
      <c r="G570" s="589"/>
      <c r="K570" s="591"/>
      <c r="L570" s="592"/>
      <c r="N570" s="592"/>
      <c r="P570" s="593"/>
      <c r="R570" s="595"/>
      <c r="S570" s="589"/>
      <c r="U570" s="630"/>
      <c r="V570" s="589"/>
      <c r="W570" s="597"/>
      <c r="X570" s="597"/>
      <c r="Y570" s="589"/>
      <c r="Z570" s="597"/>
      <c r="AA570" s="592"/>
      <c r="AB570" s="589"/>
      <c r="AE570" s="592"/>
    </row>
    <row r="571" spans="3:31" s="587" customFormat="1" ht="12.75" customHeight="1" hidden="1">
      <c r="C571" s="588"/>
      <c r="G571" s="589"/>
      <c r="K571" s="591"/>
      <c r="L571" s="592"/>
      <c r="N571" s="592"/>
      <c r="P571" s="593"/>
      <c r="R571" s="595"/>
      <c r="S571" s="589"/>
      <c r="U571" s="630"/>
      <c r="V571" s="589"/>
      <c r="W571" s="597"/>
      <c r="X571" s="597"/>
      <c r="Y571" s="589"/>
      <c r="Z571" s="597"/>
      <c r="AA571" s="592"/>
      <c r="AB571" s="589"/>
      <c r="AE571" s="592"/>
    </row>
    <row r="572" spans="3:31" s="587" customFormat="1" ht="12.75" customHeight="1" hidden="1">
      <c r="C572" s="588"/>
      <c r="G572" s="589"/>
      <c r="K572" s="591"/>
      <c r="L572" s="592"/>
      <c r="N572" s="592"/>
      <c r="P572" s="593"/>
      <c r="R572" s="595"/>
      <c r="S572" s="589"/>
      <c r="U572" s="630"/>
      <c r="V572" s="589"/>
      <c r="W572" s="597"/>
      <c r="X572" s="597"/>
      <c r="Y572" s="589"/>
      <c r="Z572" s="597"/>
      <c r="AA572" s="592"/>
      <c r="AB572" s="589"/>
      <c r="AE572" s="592"/>
    </row>
    <row r="573" spans="3:31" s="587" customFormat="1" ht="12.75" customHeight="1" hidden="1">
      <c r="C573" s="588"/>
      <c r="G573" s="589"/>
      <c r="K573" s="591"/>
      <c r="L573" s="592"/>
      <c r="N573" s="592"/>
      <c r="P573" s="593"/>
      <c r="R573" s="595"/>
      <c r="S573" s="589"/>
      <c r="U573" s="630"/>
      <c r="V573" s="589"/>
      <c r="W573" s="597"/>
      <c r="X573" s="597"/>
      <c r="Y573" s="589"/>
      <c r="Z573" s="597"/>
      <c r="AA573" s="592"/>
      <c r="AB573" s="589"/>
      <c r="AE573" s="592"/>
    </row>
    <row r="574" spans="3:31" s="587" customFormat="1" ht="12.75" customHeight="1" hidden="1">
      <c r="C574" s="588"/>
      <c r="G574" s="589"/>
      <c r="K574" s="591"/>
      <c r="L574" s="592"/>
      <c r="N574" s="592"/>
      <c r="P574" s="593"/>
      <c r="R574" s="595"/>
      <c r="S574" s="589"/>
      <c r="U574" s="630"/>
      <c r="V574" s="589"/>
      <c r="W574" s="597"/>
      <c r="X574" s="597"/>
      <c r="Y574" s="589"/>
      <c r="Z574" s="597"/>
      <c r="AA574" s="592"/>
      <c r="AB574" s="589"/>
      <c r="AE574" s="592"/>
    </row>
    <row r="575" spans="3:31" s="587" customFormat="1" ht="12.75" customHeight="1" hidden="1">
      <c r="C575" s="588"/>
      <c r="G575" s="589"/>
      <c r="K575" s="591"/>
      <c r="L575" s="592"/>
      <c r="N575" s="592"/>
      <c r="P575" s="593"/>
      <c r="R575" s="595"/>
      <c r="S575" s="589"/>
      <c r="U575" s="630"/>
      <c r="V575" s="589"/>
      <c r="W575" s="597"/>
      <c r="X575" s="597"/>
      <c r="Y575" s="589"/>
      <c r="Z575" s="597"/>
      <c r="AA575" s="592"/>
      <c r="AB575" s="589"/>
      <c r="AE575" s="592"/>
    </row>
    <row r="576" spans="3:31" s="587" customFormat="1" ht="12.75" customHeight="1" hidden="1">
      <c r="C576" s="588"/>
      <c r="G576" s="589"/>
      <c r="K576" s="591"/>
      <c r="L576" s="592"/>
      <c r="N576" s="592"/>
      <c r="P576" s="593"/>
      <c r="R576" s="595"/>
      <c r="S576" s="589"/>
      <c r="U576" s="630"/>
      <c r="V576" s="589"/>
      <c r="W576" s="597"/>
      <c r="X576" s="597"/>
      <c r="Y576" s="589"/>
      <c r="Z576" s="597"/>
      <c r="AA576" s="592"/>
      <c r="AB576" s="589"/>
      <c r="AE576" s="592"/>
    </row>
    <row r="577" spans="3:31" s="587" customFormat="1" ht="12.75" customHeight="1" hidden="1">
      <c r="C577" s="588"/>
      <c r="G577" s="589"/>
      <c r="K577" s="591"/>
      <c r="L577" s="592"/>
      <c r="N577" s="592"/>
      <c r="P577" s="593"/>
      <c r="R577" s="595"/>
      <c r="S577" s="589"/>
      <c r="U577" s="630"/>
      <c r="V577" s="589"/>
      <c r="W577" s="597"/>
      <c r="X577" s="597"/>
      <c r="Y577" s="589"/>
      <c r="Z577" s="597"/>
      <c r="AA577" s="592"/>
      <c r="AB577" s="589"/>
      <c r="AE577" s="592"/>
    </row>
    <row r="578" ht="12.75" customHeight="1" hidden="1"/>
    <row r="579" ht="12.75" customHeight="1" hidden="1"/>
    <row r="580" ht="12.75" customHeight="1" hidden="1"/>
    <row r="581" ht="12.75" customHeight="1" hidden="1"/>
    <row r="582" ht="12.75" customHeight="1" hidden="1"/>
    <row r="583" ht="12.75" customHeight="1" hidden="1"/>
    <row r="584" ht="12.75" customHeight="1" hidden="1"/>
    <row r="585" ht="12.75" customHeight="1" hidden="1"/>
    <row r="586" ht="12.75" customHeight="1" hidden="1"/>
    <row r="587" ht="12.75" customHeight="1" hidden="1"/>
    <row r="588" ht="12.75" customHeight="1" hidden="1"/>
    <row r="589" ht="12.75" customHeight="1" hidden="1"/>
    <row r="590" ht="12.75" customHeight="1" hidden="1"/>
    <row r="591" ht="12.75" customHeight="1" hidden="1"/>
    <row r="592" ht="12.75" customHeight="1" hidden="1"/>
    <row r="593" ht="12.75" customHeight="1" hidden="1"/>
    <row r="594" ht="12.75" customHeight="1" hidden="1"/>
    <row r="595" ht="12.75" customHeight="1" hidden="1"/>
    <row r="596" ht="12.75" customHeight="1" hidden="1"/>
    <row r="597" ht="12.75" customHeight="1" hidden="1"/>
    <row r="598" spans="3:31" s="540" customFormat="1" ht="12.75" customHeight="1">
      <c r="C598" s="554"/>
      <c r="G598" s="541"/>
      <c r="K598" s="542"/>
      <c r="L598" s="543"/>
      <c r="N598" s="543"/>
      <c r="P598" s="693"/>
      <c r="R598" s="694"/>
      <c r="S598" s="541"/>
      <c r="U598" s="544"/>
      <c r="V598" s="541"/>
      <c r="W598" s="545"/>
      <c r="X598" s="545"/>
      <c r="Y598" s="541"/>
      <c r="Z598" s="545"/>
      <c r="AA598" s="543"/>
      <c r="AB598" s="541"/>
      <c r="AE598" s="543"/>
    </row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</sheetData>
  <sheetProtection password="D64A" sheet="1" scenarios="1" insertHyperlinks="0"/>
  <mergeCells count="193">
    <mergeCell ref="G437:I437"/>
    <mergeCell ref="X436:Z436"/>
    <mergeCell ref="H6:U6"/>
    <mergeCell ref="L20:M20"/>
    <mergeCell ref="Q7:U7"/>
    <mergeCell ref="L111:M111"/>
    <mergeCell ref="D250:K250"/>
    <mergeCell ref="D153:D162"/>
    <mergeCell ref="D164:D173"/>
    <mergeCell ref="D175:D184"/>
    <mergeCell ref="N438:P438"/>
    <mergeCell ref="E366:J366"/>
    <mergeCell ref="L363:M363"/>
    <mergeCell ref="E12:W12"/>
    <mergeCell ref="D323:O323"/>
    <mergeCell ref="E331:G331"/>
    <mergeCell ref="D281:N281"/>
    <mergeCell ref="E327:G327"/>
    <mergeCell ref="D142:D151"/>
    <mergeCell ref="D234:D236"/>
    <mergeCell ref="D9:E9"/>
    <mergeCell ref="H7:L7"/>
    <mergeCell ref="L322:M322"/>
    <mergeCell ref="N439:P439"/>
    <mergeCell ref="L42:M42"/>
    <mergeCell ref="F9:Q9"/>
    <mergeCell ref="N18:U18"/>
    <mergeCell ref="L65:M65"/>
    <mergeCell ref="E353:N353"/>
    <mergeCell ref="E335:G335"/>
    <mergeCell ref="S454:U454"/>
    <mergeCell ref="L127:M127"/>
    <mergeCell ref="L188:M188"/>
    <mergeCell ref="L216:M216"/>
    <mergeCell ref="L231:M231"/>
    <mergeCell ref="U446:AE446"/>
    <mergeCell ref="U442:AE442"/>
    <mergeCell ref="U443:AE443"/>
    <mergeCell ref="U444:AE444"/>
    <mergeCell ref="U445:AE445"/>
    <mergeCell ref="AA438:AB438"/>
    <mergeCell ref="Y439:Z439"/>
    <mergeCell ref="S437:U437"/>
    <mergeCell ref="S438:U438"/>
    <mergeCell ref="S439:U439"/>
    <mergeCell ref="W439:X439"/>
    <mergeCell ref="AA437:AB437"/>
    <mergeCell ref="X437:Z437"/>
    <mergeCell ref="X438:Z438"/>
    <mergeCell ref="AA436:AB436"/>
    <mergeCell ref="S436:U436"/>
    <mergeCell ref="S433:U433"/>
    <mergeCell ref="AA433:AB433"/>
    <mergeCell ref="S434:U434"/>
    <mergeCell ref="AA434:AB434"/>
    <mergeCell ref="AA435:AB435"/>
    <mergeCell ref="X433:Z433"/>
    <mergeCell ref="X434:Z434"/>
    <mergeCell ref="X435:Z435"/>
    <mergeCell ref="E333:G333"/>
    <mergeCell ref="E334:G334"/>
    <mergeCell ref="C281:C284"/>
    <mergeCell ref="C131:C140"/>
    <mergeCell ref="C142:C151"/>
    <mergeCell ref="C153:C162"/>
    <mergeCell ref="C164:C173"/>
    <mergeCell ref="E328:G328"/>
    <mergeCell ref="C285:C290"/>
    <mergeCell ref="E329:G329"/>
    <mergeCell ref="E332:G332"/>
    <mergeCell ref="C203:C211"/>
    <mergeCell ref="C192:C200"/>
    <mergeCell ref="C232:C236"/>
    <mergeCell ref="C324:C336"/>
    <mergeCell ref="D446:P446"/>
    <mergeCell ref="D450:P450"/>
    <mergeCell ref="D447:P447"/>
    <mergeCell ref="A463:C475"/>
    <mergeCell ref="E455:E456"/>
    <mergeCell ref="A454:D454"/>
    <mergeCell ref="D451:P451"/>
    <mergeCell ref="U447:AE447"/>
    <mergeCell ref="U448:AE448"/>
    <mergeCell ref="U449:AE449"/>
    <mergeCell ref="U450:AE450"/>
    <mergeCell ref="U451:AE451"/>
    <mergeCell ref="D449:P449"/>
    <mergeCell ref="D448:P448"/>
    <mergeCell ref="D443:P443"/>
    <mergeCell ref="E388:K388"/>
    <mergeCell ref="E389:K389"/>
    <mergeCell ref="M433:Q433"/>
    <mergeCell ref="M434:Q434"/>
    <mergeCell ref="P395:Q395"/>
    <mergeCell ref="G436:I436"/>
    <mergeCell ref="G433:I433"/>
    <mergeCell ref="G434:I434"/>
    <mergeCell ref="G435:I435"/>
    <mergeCell ref="D444:P444"/>
    <mergeCell ref="E354:K354"/>
    <mergeCell ref="D251:K251"/>
    <mergeCell ref="D252:K252"/>
    <mergeCell ref="E351:K351"/>
    <mergeCell ref="E386:K386"/>
    <mergeCell ref="E387:K387"/>
    <mergeCell ref="D442:P442"/>
    <mergeCell ref="M435:Q435"/>
    <mergeCell ref="M436:Q436"/>
    <mergeCell ref="D40:D41"/>
    <mergeCell ref="C102:C110"/>
    <mergeCell ref="D30:D31"/>
    <mergeCell ref="S9:AA9"/>
    <mergeCell ref="D23:D29"/>
    <mergeCell ref="D33:D39"/>
    <mergeCell ref="C79:C87"/>
    <mergeCell ref="C56:C64"/>
    <mergeCell ref="C33:C41"/>
    <mergeCell ref="AA12:AE12"/>
    <mergeCell ref="R281:R284"/>
    <mergeCell ref="R230:R232"/>
    <mergeCell ref="R382:R385"/>
    <mergeCell ref="E316:G316"/>
    <mergeCell ref="E349:K349"/>
    <mergeCell ref="E350:K350"/>
    <mergeCell ref="D445:P445"/>
    <mergeCell ref="L337:M337"/>
    <mergeCell ref="AB377:AD377"/>
    <mergeCell ref="F377:N377"/>
    <mergeCell ref="C201:C202"/>
    <mergeCell ref="E308:G308"/>
    <mergeCell ref="E309:G309"/>
    <mergeCell ref="E310:G310"/>
    <mergeCell ref="E312:G312"/>
    <mergeCell ref="E313:G313"/>
    <mergeCell ref="E314:G314"/>
    <mergeCell ref="E369:J369"/>
    <mergeCell ref="A374:A378"/>
    <mergeCell ref="E359:K359"/>
    <mergeCell ref="E367:J367"/>
    <mergeCell ref="E368:J368"/>
    <mergeCell ref="C354:C360"/>
    <mergeCell ref="C366:C370"/>
    <mergeCell ref="E370:J370"/>
    <mergeCell ref="E360:K360"/>
    <mergeCell ref="E356:K356"/>
    <mergeCell ref="E357:K357"/>
    <mergeCell ref="F285:H285"/>
    <mergeCell ref="D109:D110"/>
    <mergeCell ref="D86:D87"/>
    <mergeCell ref="D76:D77"/>
    <mergeCell ref="D79:D85"/>
    <mergeCell ref="D102:D108"/>
    <mergeCell ref="D92:D98"/>
    <mergeCell ref="C292:C294"/>
    <mergeCell ref="D56:D62"/>
    <mergeCell ref="D99:D100"/>
    <mergeCell ref="D53:D54"/>
    <mergeCell ref="D63:D64"/>
    <mergeCell ref="D69:D75"/>
    <mergeCell ref="C269:C276"/>
    <mergeCell ref="C257:C264"/>
    <mergeCell ref="C246:C248"/>
    <mergeCell ref="C243:C245"/>
    <mergeCell ref="E358:K358"/>
    <mergeCell ref="E373:J373"/>
    <mergeCell ref="E355:K355"/>
    <mergeCell ref="D192:D200"/>
    <mergeCell ref="D203:D211"/>
    <mergeCell ref="C353:D353"/>
    <mergeCell ref="C340:C351"/>
    <mergeCell ref="F337:G337"/>
    <mergeCell ref="E315:G315"/>
    <mergeCell ref="C296:C306"/>
    <mergeCell ref="C175:C184"/>
    <mergeCell ref="C13:D14"/>
    <mergeCell ref="S435:U435"/>
    <mergeCell ref="L237:M237"/>
    <mergeCell ref="J20:K20"/>
    <mergeCell ref="L286:M286"/>
    <mergeCell ref="L278:M278"/>
    <mergeCell ref="L266:M266"/>
    <mergeCell ref="D385:J385"/>
    <mergeCell ref="D46:D52"/>
    <mergeCell ref="M437:Q437"/>
    <mergeCell ref="L254:M254"/>
    <mergeCell ref="L88:M88"/>
    <mergeCell ref="C116:C124"/>
    <mergeCell ref="D116:D122"/>
    <mergeCell ref="D123:D124"/>
    <mergeCell ref="L125:M125"/>
    <mergeCell ref="D138:D140"/>
    <mergeCell ref="D132:D134"/>
    <mergeCell ref="C219:C229"/>
  </mergeCells>
  <hyperlinks>
    <hyperlink ref="H6" r:id="rId1" display="http://www.gyorshazak.extramobilhazak.hu/v-arak.oko-falak.fodemek.html"/>
    <hyperlink ref="E14" r:id="rId2" display="http://extramobilhazak.hu/valuta/valutaconverter.htm"/>
    <hyperlink ref="C324" r:id="rId3" display="http://mobilhazak.extra.hu/2-nyilasok/panel-nyilasok.sum.jpg"/>
    <hyperlink ref="E340" r:id="rId4" display="alapkonyha &gt;&gt;&gt; sztenderd.nk.jpg"/>
    <hyperlink ref="E341" r:id="rId5" display="MINI konyhaber. kiépítettség 3D-s képe.jpg"/>
    <hyperlink ref="E342" r:id="rId6" display="MIDI konyhaber. kiépítettség 3D-s képe.jpg"/>
    <hyperlink ref="E343" r:id="rId7" display="MAXI konyhaber. kiépítettség 3D-s képe.jpg"/>
    <hyperlink ref="E344" r:id="rId8" display="SUPER konyhaber. kiépítetts. 3D-s képe.jpg"/>
    <hyperlink ref="C257" r:id="rId9" display="http://mobilhazak.extra.hu/22-garage/zz-kertarolo-valtozat-sum-nk.jpg"/>
    <hyperlink ref="C192:C200" r:id="rId10" display="Sfk.1… 9 közép falak  &gt; "/>
    <hyperlink ref="C142" r:id="rId11" display="http://mobilhazak.extra.hu/v-arak-kondiciok-kiegeszitok.html#ss"/>
    <hyperlink ref="C153" r:id="rId12" display="http://mobilhazak.extra.hu/v-arak-kondiciok-kiegeszitok.html#ms"/>
    <hyperlink ref="C164" r:id="rId13" display="http://mobilhazak.extra.hu/v-arak-kondiciok-kiegeszitok.html#ls"/>
    <hyperlink ref="C175" r:id="rId14" display="http://mobilhazak.extra.hu/v-arak-kondiciok-kiegeszitok.html#xls"/>
    <hyperlink ref="D46" r:id="rId15" display="http://mobilhazak.extra.hu/v-arak.sacy.html#mary"/>
    <hyperlink ref="D69" r:id="rId16" display="http://mobilhazak.extra.hu/v-arak.lizy.html#lizy"/>
    <hyperlink ref="D92" r:id="rId17" display="http://mobilhazak.extra.hu/v-arak.xlizy.html#xlizy"/>
    <hyperlink ref="AE9" r:id="rId18" display="MINTA mobilhome &gt; katt IDE"/>
    <hyperlink ref="C340" r:id="rId19" display="http://www.mobilhazak.extra.hu/altalanos.felszereltseg.html#konyha"/>
    <hyperlink ref="C269:C276" r:id="rId20" display="például 4db sorolt egyteru-sum-nk.jpg"/>
    <hyperlink ref="C219" r:id="rId21" display="http://www.mobilhazak.extra.hu/v-arak-kondiciok-kiegeszitok.html#ews"/>
    <hyperlink ref="C219:C229" r:id="rId22" display="arak-kondiciok-kiegeszitok.html#ews-ÁRAK"/>
    <hyperlink ref="H7" r:id="rId23" display="bautechnik@eurocomnet.hu"/>
    <hyperlink ref="Q7:U7" r:id="rId24" display="callto:fransis69"/>
    <hyperlink ref="H6:O6" r:id="rId25" display="http://www.gyorshazak.extramobilhazak.hu/v-arak.oko-falak.fodemek.html"/>
    <hyperlink ref="C131:C140" r:id="rId26" display="v-arak-kondiciok-kiegeszitok.html#ns"/>
    <hyperlink ref="C142:C151" r:id="rId27" display="v-arak-kondiciok-kiegeszitok.html#ss"/>
    <hyperlink ref="C153:C162" r:id="rId28" display="v-arak-kondiciok-kiegeszitok.html#ms"/>
    <hyperlink ref="C164:C173" r:id="rId29" display="v-arak-kondiciok-kiegeszitok.html#ls"/>
    <hyperlink ref="C175:C184" r:id="rId30" display="v-arak-kondiciok-kiegeszitok.html#xls"/>
    <hyperlink ref="C203:C211" r:id="rId31" display="&lt;&lt;&lt; SF.1… 9 záró falak "/>
    <hyperlink ref="C257:C264" r:id="rId32" display="http://www.extramobilhazak.hu/22-garage/zz-kertarolo-valtozat-sum-nk.jpg"/>
    <hyperlink ref="C324:C336" r:id="rId33" display="választható panel-nyilasok.sum.jpg"/>
    <hyperlink ref="C340:C345" r:id="rId34" display="altalanos.felszereltseg.html#konyha"/>
    <hyperlink ref="D92:D98" r:id="rId35" display="xL - Egytér-komfort"/>
    <hyperlink ref="D69:D75" r:id="rId36" display="L . Egytér-komfort"/>
    <hyperlink ref="D46:D52" r:id="rId37" display="M . Egytér-komfort"/>
    <hyperlink ref="C366:C370" r:id="rId38" display="altalanos.felszereltseg.html#1"/>
    <hyperlink ref="C296:C306" r:id="rId39" display="&gt;&gt;&gt;&gt;   ajtós-, ablakos falelemek    &lt;&lt;&lt;&lt;  "/>
    <hyperlink ref="J434:J436" location="'kalkulator.es.mr-lap-ver2.08'!A1" display="fel--|--fel"/>
    <hyperlink ref="S434:S435" location="'kalkulator.es.mr-lap-ver2.08'!A1" display="fel--|--fel"/>
    <hyperlink ref="AA435" location="'kalkulator.es.mr-lap-ver2.08'!N247" display="fel--|--fel"/>
    <hyperlink ref="S435" location="'kalkulator.es.mr-lap-ver2.08'!N197" display="fel--|--fel"/>
    <hyperlink ref="S434" location="'kalkulator.es.mr-lap-ver2.08'!N169" display="fel--|--fel"/>
    <hyperlink ref="S433" location="'kalkulator.es.mr-lap-ver2.08'!N114" display="fel--|--fel"/>
    <hyperlink ref="J436" location="calc!A89" display="fel--|--fel"/>
    <hyperlink ref="J433" location="calc!A20" display="fel--|--fel"/>
    <hyperlink ref="AA434" location="'kalkulator.es.mr-lap-ver2.08'!N235" display="fel--|--fel"/>
    <hyperlink ref="S436" location="'kalkulator.es.mr-lap-ver2.08'!N247" display="fel--|--fel"/>
    <hyperlink ref="S436:T436" location="'kalkulator.es.mr-lap-ver2.08'!N212" display="fel--|--fel"/>
    <hyperlink ref="S433:U433" location="calc!A126" display="fel--|--fel"/>
    <hyperlink ref="S434:U434" location="calc!A187" display="fel--|--fel"/>
    <hyperlink ref="S435:U435" location="calc!A215" display="fel--|--fel"/>
    <hyperlink ref="S436:U436" location="calc!A217" display="fel--|--fel"/>
    <hyperlink ref="J435" location="calc!A66" display="fel--|--fel"/>
    <hyperlink ref="J434" location="calc!A43" display="fel--|--fel"/>
    <hyperlink ref="AA433" location="'kalkulator.es.mr-lap-ver2.08'!N235" display="fel--|--fel"/>
    <hyperlink ref="AA433:AB433" location="calc!A227" display="fel--|--fel"/>
    <hyperlink ref="AA434:AB434" location="calc!A254" display="fel--|--fel"/>
    <hyperlink ref="AA435:AB435" location="calc!A265" display="fel--|--fel"/>
    <hyperlink ref="C232" r:id="rId40" display="arak-kondiciok-kiegeszitok.html#ews-ÁRAK"/>
    <hyperlink ref="C232:C236" r:id="rId41" display="arak-kondiciok-kiegeszitok.html#ews-ÁRAK"/>
    <hyperlink ref="N438" location="calc!A1" display="lap eleje"/>
    <hyperlink ref="S454:U454" location="calc!A401" display="fel--|--fel"/>
    <hyperlink ref="N439" location="calc!A492" display="lap alja"/>
    <hyperlink ref="A454:D454" location="ver4!A11" display="&lt;&lt;&lt; tovább"/>
    <hyperlink ref="D23:D29" r:id="rId42" display="S . Egytér-komfortok"/>
    <hyperlink ref="J20" location="'ver3.00-n'!N419" display="le--|--le"/>
    <hyperlink ref="J20:K20" location="calc!A441" display="le â össz"/>
    <hyperlink ref="L286" location="'ver3.00-n'!N419" display="le--|--le"/>
    <hyperlink ref="L286:M286" location="calc!A425" display="le | le össz"/>
    <hyperlink ref="D33:D39" r:id="rId43" display="S . Egy-helyiség"/>
    <hyperlink ref="L231" location="'ver3.00-n'!N419" display="le--|--le"/>
    <hyperlink ref="L231:M231" location="calc!A425" display="le | le össz"/>
    <hyperlink ref="C131" r:id="rId44" display="http://mobilhazak.extra.hu/v-arak-kondiciok-kiegeszitok.html#ns"/>
    <hyperlink ref="L20" location="'ver3.00-n'!N419" display="le--|--le"/>
    <hyperlink ref="L20:M20" location="calc!A441" display="le â össz"/>
    <hyperlink ref="L42" location="'ver3.00-n'!N419" display="le--|--le"/>
    <hyperlink ref="L42:M42" location="calc!A441" display="le â össz"/>
    <hyperlink ref="L65" location="'ver3.00-n'!N419" display="le--|--le"/>
    <hyperlink ref="L65:M65" location="calc!A441" display="le â össz"/>
    <hyperlink ref="L88" location="'ver3.00-n'!N419" display="le--|--le"/>
    <hyperlink ref="L88:M88" location="calc!A441" display="le â össz"/>
    <hyperlink ref="L111" location="'ver3.00-n'!N419" display="le--|--le"/>
    <hyperlink ref="L111:M111" location="calc!A441" display="le â össz"/>
    <hyperlink ref="L125" location="'ver3.00-n'!N419" display="le--|--le"/>
    <hyperlink ref="L125:M125" location="calc!A441" display="le â össz"/>
    <hyperlink ref="L127" location="'ver3.00-n'!N419" display="le--|--le"/>
    <hyperlink ref="L127:M127" location="calc!A441" display="le â össz"/>
    <hyperlink ref="L188" location="'ver3.00-n'!N419" display="le--|--le"/>
    <hyperlink ref="L188:M188" location="calc!A441" display="le â össz"/>
    <hyperlink ref="L216" location="'ver3.00-n'!N419" display="le--|--le"/>
    <hyperlink ref="L216:M216" location="calc!A441" display="le â össz"/>
    <hyperlink ref="L237" location="'ver3.00-n'!N419" display="le--|--le"/>
    <hyperlink ref="L237:M237" location="calc!A441" display="le â össz"/>
    <hyperlink ref="L254" location="'ver3.00-n'!N419" display="le--|--le"/>
    <hyperlink ref="L254:M254" location="calc!A441" display="le â össz"/>
    <hyperlink ref="L266" location="'ver3.00-n'!N419" display="le--|--le"/>
    <hyperlink ref="L266:M266" location="calc!A441" display="le â össz"/>
    <hyperlink ref="L278" location="'ver3.00-n'!N419" display="le--|--le"/>
    <hyperlink ref="L278:M278" location="calc!A441" display="le â össz"/>
    <hyperlink ref="L322" location="'ver3.00-n'!N419" display="le--|--le"/>
    <hyperlink ref="L322:M322" location="calc!A441" display="le â össz"/>
    <hyperlink ref="L337" location="'ver3.00-n'!N419" display="le--|--le"/>
    <hyperlink ref="L337:M337" location="calc!A441" display="le â össz"/>
    <hyperlink ref="L363" location="'ver3.00-n'!N419" display="le--|--le"/>
    <hyperlink ref="L363:M363" location="calc!A441" display="le â össz"/>
    <hyperlink ref="P395" location="'ver3.00-n'!N419" display="le--|--le"/>
    <hyperlink ref="P395:Q395" location="calc!A441" display="le â össz"/>
    <hyperlink ref="J437" location="calc!A112" display="fel--|--fel"/>
    <hyperlink ref="S437" location="'kalkulator.es.mr-lap-ver2.08'!N197" display="fel--|--fel"/>
    <hyperlink ref="S437:U437" location="calc!A383" display="fel--|--fel"/>
    <hyperlink ref="N439:P439" location="calc!A477" display="lap     â  alja"/>
  </hyperlinks>
  <printOptions horizontalCentered="1"/>
  <pageMargins left="0.1968503937007874" right="0.1968503937007874" top="0.7480314960629921" bottom="0.7874015748031497" header="0.3937007874015748" footer="0.5118110236220472"/>
  <pageSetup orientation="portrait" paperSize="9" r:id="rId48"/>
  <headerFooter alignWithMargins="0">
    <oddHeader>&amp;L&amp;"Arial,Normál"&amp;7Öko Bautechnik Könnyűszerkezetű Épület és Mobilház Gyártó Kft.
2230. GYÖMRŐ. Kőhatár . Külterület .68/81 hrsz&amp;C&amp;"Arial,Normál"&amp;7
&amp;P.oldal / össz &amp;N oldal&amp;R&amp;"Arial,Normál"&amp;7Tel: +3630 275 2235
E-mail:  bautechnik@eurocomnet.hu</oddHeader>
    <oddFooter>&amp;R&amp;"Arial Narrow,Dőlt"&amp;7____________________________________
-     (megrendelő laponkénti aláírása)         -</oddFooter>
  </headerFooter>
  <colBreaks count="1" manualBreakCount="1">
    <brk id="32" max="547" man="1"/>
  </colBreaks>
  <drawing r:id="rId47"/>
  <legacyDrawing r:id="rId4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sbi fe jo</dc:creator>
  <cp:keywords/>
  <dc:description/>
  <cp:lastModifiedBy>sby f j</cp:lastModifiedBy>
  <cp:lastPrinted>2013-05-29T09:28:02Z</cp:lastPrinted>
  <dcterms:created xsi:type="dcterms:W3CDTF">2009-12-30T11:31:31Z</dcterms:created>
  <dcterms:modified xsi:type="dcterms:W3CDTF">2013-05-29T09:52:20Z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